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 and Technical Affairs\Animal Welfare\Guidelines &amp; Audit\Scored Audit Template\"/>
    </mc:Choice>
  </mc:AlternateContent>
  <xr:revisionPtr revIDLastSave="0" documentId="13_ncr:1_{BD0FBD37-BE33-4485-B0FA-4C2546CC17B0}" xr6:coauthVersionLast="36" xr6:coauthVersionMax="47" xr10:uidLastSave="{00000000-0000-0000-0000-000000000000}"/>
  <bookViews>
    <workbookView xWindow="-105" yWindow="-105" windowWidth="19425" windowHeight="10425" xr2:uid="{4FA393D4-E12C-4309-A5B6-0B1DB2C429A5}"/>
  </bookViews>
  <sheets>
    <sheet name="Cattle Transport" sheetId="1" r:id="rId1"/>
    <sheet name="Bison Transport" sheetId="10" r:id="rId2"/>
    <sheet name="Swine Transport" sheetId="2" r:id="rId3"/>
    <sheet name="Sheep Transport" sheetId="3" r:id="rId4"/>
    <sheet name="Cattle Slaughter" sheetId="4" r:id="rId5"/>
    <sheet name="Bison Slaughter" sheetId="9" r:id="rId6"/>
    <sheet name="Swine Slaughter" sheetId="5" r:id="rId7"/>
    <sheet name="Sheep Slaughter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9" l="1"/>
  <c r="D87" i="9" l="1"/>
  <c r="D86" i="9"/>
  <c r="D85" i="9"/>
  <c r="D84" i="9"/>
  <c r="D82" i="9"/>
  <c r="D81" i="9"/>
  <c r="D80" i="9"/>
  <c r="D87" i="4"/>
  <c r="D86" i="4"/>
  <c r="D85" i="4"/>
  <c r="D84" i="4"/>
  <c r="D83" i="4"/>
  <c r="D82" i="4"/>
  <c r="D81" i="4"/>
  <c r="D80" i="4"/>
  <c r="D106" i="10"/>
  <c r="D106" i="2"/>
  <c r="D106" i="3"/>
  <c r="D105" i="3"/>
  <c r="D104" i="3"/>
  <c r="D103" i="3"/>
  <c r="D102" i="3"/>
  <c r="D101" i="3"/>
  <c r="D100" i="3"/>
  <c r="M83" i="3"/>
  <c r="M81" i="3"/>
  <c r="B67" i="3"/>
  <c r="B61" i="3"/>
  <c r="M55" i="3"/>
  <c r="B55" i="3"/>
  <c r="M47" i="3"/>
  <c r="B47" i="3"/>
  <c r="M72" i="2"/>
  <c r="D104" i="2" s="1"/>
  <c r="D105" i="2"/>
  <c r="D103" i="2"/>
  <c r="D102" i="2"/>
  <c r="D101" i="2"/>
  <c r="D100" i="2"/>
  <c r="B83" i="2"/>
  <c r="B78" i="2"/>
  <c r="M81" i="2"/>
  <c r="M72" i="10"/>
  <c r="D104" i="10" s="1"/>
  <c r="B67" i="2"/>
  <c r="B61" i="2"/>
  <c r="M55" i="2"/>
  <c r="B55" i="2"/>
  <c r="M47" i="2"/>
  <c r="B47" i="2"/>
  <c r="D105" i="10"/>
  <c r="D103" i="10"/>
  <c r="D102" i="10"/>
  <c r="D101" i="10"/>
  <c r="D100" i="10"/>
  <c r="M55" i="10"/>
  <c r="B55" i="10"/>
  <c r="M47" i="10"/>
  <c r="B47" i="10"/>
  <c r="M69" i="1"/>
  <c r="M83" i="10"/>
  <c r="M82" i="10" s="1"/>
  <c r="B83" i="10"/>
  <c r="B78" i="10"/>
  <c r="B67" i="10"/>
  <c r="B61" i="10"/>
  <c r="B105" i="1" l="1"/>
  <c r="M38" i="6"/>
  <c r="D88" i="6" s="1"/>
  <c r="M38" i="5"/>
  <c r="M37" i="9"/>
  <c r="M37" i="4"/>
  <c r="M61" i="3"/>
  <c r="M61" i="2"/>
  <c r="M61" i="10"/>
  <c r="M60" i="1"/>
  <c r="D105" i="1"/>
  <c r="M54" i="1"/>
  <c r="M46" i="1"/>
  <c r="B46" i="1"/>
  <c r="M55" i="5"/>
  <c r="M80" i="1"/>
  <c r="M71" i="1"/>
  <c r="B84" i="1"/>
  <c r="B77" i="1"/>
  <c r="B66" i="1"/>
  <c r="B60" i="1"/>
  <c r="B54" i="1"/>
  <c r="C90" i="6"/>
  <c r="C84" i="4"/>
  <c r="C92" i="6"/>
  <c r="C86" i="6"/>
  <c r="M81" i="6"/>
  <c r="D93" i="6" s="1"/>
  <c r="D77" i="6"/>
  <c r="B92" i="6" s="1"/>
  <c r="M76" i="6"/>
  <c r="D92" i="6" s="1"/>
  <c r="B73" i="6"/>
  <c r="B91" i="6" s="1"/>
  <c r="B72" i="6"/>
  <c r="M72" i="6" s="1"/>
  <c r="D91" i="6" s="1"/>
  <c r="M66" i="6"/>
  <c r="B66" i="6"/>
  <c r="M65" i="6"/>
  <c r="B65" i="6"/>
  <c r="M58" i="6" s="1"/>
  <c r="M64" i="6"/>
  <c r="M63" i="6"/>
  <c r="B63" i="6"/>
  <c r="M62" i="6"/>
  <c r="B62" i="6"/>
  <c r="M61" i="6"/>
  <c r="M60" i="6"/>
  <c r="B60" i="6"/>
  <c r="M59" i="6"/>
  <c r="B59" i="6"/>
  <c r="B54" i="6"/>
  <c r="B53" i="6"/>
  <c r="M53" i="6" s="1"/>
  <c r="M52" i="6"/>
  <c r="M51" i="6"/>
  <c r="M46" i="6"/>
  <c r="B46" i="6"/>
  <c r="B89" i="6" s="1"/>
  <c r="M45" i="6"/>
  <c r="B45" i="6"/>
  <c r="M44" i="6"/>
  <c r="D89" i="6" s="1"/>
  <c r="M40" i="6"/>
  <c r="B39" i="6" s="1"/>
  <c r="B88" i="6" s="1"/>
  <c r="M39" i="6"/>
  <c r="B38" i="6"/>
  <c r="G33" i="6"/>
  <c r="B87" i="6" s="1"/>
  <c r="M32" i="6"/>
  <c r="D87" i="6" s="1"/>
  <c r="H29" i="6"/>
  <c r="H30" i="6" s="1"/>
  <c r="G29" i="6"/>
  <c r="G28" i="6"/>
  <c r="G27" i="6"/>
  <c r="G26" i="6"/>
  <c r="G25" i="6"/>
  <c r="H22" i="6"/>
  <c r="G21" i="6"/>
  <c r="G20" i="6"/>
  <c r="G19" i="6"/>
  <c r="G18" i="6"/>
  <c r="G17" i="6"/>
  <c r="G16" i="6"/>
  <c r="G15" i="6"/>
  <c r="G14" i="6"/>
  <c r="G13" i="6"/>
  <c r="G12" i="6"/>
  <c r="B46" i="5"/>
  <c r="B52" i="5"/>
  <c r="M52" i="5" s="1"/>
  <c r="B38" i="5"/>
  <c r="C86" i="9"/>
  <c r="B85" i="9"/>
  <c r="C84" i="9"/>
  <c r="M74" i="9"/>
  <c r="M71" i="9"/>
  <c r="D70" i="9"/>
  <c r="B86" i="9" s="1"/>
  <c r="M69" i="9"/>
  <c r="B66" i="9"/>
  <c r="B65" i="9"/>
  <c r="M65" i="9" s="1"/>
  <c r="M60" i="9"/>
  <c r="M59" i="9"/>
  <c r="B59" i="9"/>
  <c r="B84" i="9" s="1"/>
  <c r="M58" i="9"/>
  <c r="B58" i="9"/>
  <c r="B52" i="9"/>
  <c r="B83" i="9" s="1"/>
  <c r="B51" i="9"/>
  <c r="B45" i="9"/>
  <c r="B82" i="9" s="1"/>
  <c r="M44" i="9"/>
  <c r="B44" i="9"/>
  <c r="M39" i="9"/>
  <c r="B38" i="9"/>
  <c r="B81" i="9" s="1"/>
  <c r="B37" i="9"/>
  <c r="G32" i="9"/>
  <c r="B80" i="9" s="1"/>
  <c r="M31" i="9"/>
  <c r="H29" i="9"/>
  <c r="G28" i="9"/>
  <c r="G27" i="9"/>
  <c r="G26" i="9"/>
  <c r="G25" i="9"/>
  <c r="G29" i="9" s="1"/>
  <c r="B79" i="9" s="1"/>
  <c r="H22" i="9"/>
  <c r="G21" i="9"/>
  <c r="G20" i="9"/>
  <c r="G19" i="9"/>
  <c r="G18" i="9"/>
  <c r="G17" i="9"/>
  <c r="G16" i="9"/>
  <c r="G15" i="9"/>
  <c r="G14" i="9"/>
  <c r="G22" i="9" s="1"/>
  <c r="B78" i="9" s="1"/>
  <c r="G13" i="9"/>
  <c r="G12" i="9"/>
  <c r="B65" i="4"/>
  <c r="B58" i="4"/>
  <c r="B51" i="4"/>
  <c r="B44" i="4"/>
  <c r="B37" i="4"/>
  <c r="D107" i="1"/>
  <c r="D106" i="1"/>
  <c r="C108" i="5"/>
  <c r="M93" i="5"/>
  <c r="D110" i="5" s="1"/>
  <c r="M77" i="5"/>
  <c r="B59" i="5"/>
  <c r="B71" i="5"/>
  <c r="B89" i="5"/>
  <c r="M89" i="5" s="1"/>
  <c r="D109" i="5" s="1"/>
  <c r="B82" i="5"/>
  <c r="M84" i="5"/>
  <c r="M83" i="5"/>
  <c r="B83" i="5"/>
  <c r="B78" i="5"/>
  <c r="B79" i="5"/>
  <c r="M79" i="5"/>
  <c r="M78" i="5"/>
  <c r="M72" i="5"/>
  <c r="M69" i="5"/>
  <c r="M66" i="5"/>
  <c r="B68" i="5"/>
  <c r="M68" i="5" s="1"/>
  <c r="B65" i="5"/>
  <c r="M65" i="5" s="1"/>
  <c r="B66" i="5" s="1"/>
  <c r="C88" i="9" l="1"/>
  <c r="B67" i="6"/>
  <c r="B90" i="6" s="1"/>
  <c r="M49" i="6"/>
  <c r="D90" i="6" s="1"/>
  <c r="M51" i="9"/>
  <c r="D83" i="9" s="1"/>
  <c r="B88" i="9"/>
  <c r="B90" i="9" s="1"/>
  <c r="C94" i="6"/>
  <c r="G22" i="6"/>
  <c r="B85" i="6" s="1"/>
  <c r="G30" i="6"/>
  <c r="B86" i="6" s="1"/>
  <c r="B94" i="6" s="1"/>
  <c r="M64" i="5"/>
  <c r="B84" i="5"/>
  <c r="M71" i="5"/>
  <c r="B72" i="5" s="1"/>
  <c r="B69" i="5"/>
  <c r="M67" i="5" s="1"/>
  <c r="M58" i="5"/>
  <c r="B60" i="5" s="1"/>
  <c r="B91" i="9" l="1"/>
  <c r="B96" i="6"/>
  <c r="B97" i="6" s="1"/>
  <c r="M57" i="5"/>
  <c r="M70" i="5"/>
  <c r="B73" i="5"/>
  <c r="B108" i="5" s="1"/>
  <c r="M59" i="5"/>
  <c r="M82" i="5"/>
  <c r="D108" i="5" l="1"/>
  <c r="M47" i="5"/>
  <c r="H29" i="5"/>
  <c r="H30" i="5" s="1"/>
  <c r="G29" i="5"/>
  <c r="C103" i="5"/>
  <c r="G28" i="5"/>
  <c r="C110" i="5"/>
  <c r="M98" i="5"/>
  <c r="D111" i="5" s="1"/>
  <c r="D94" i="5"/>
  <c r="B110" i="5" s="1"/>
  <c r="B90" i="5"/>
  <c r="B109" i="5" s="1"/>
  <c r="M53" i="5"/>
  <c r="B53" i="5"/>
  <c r="M51" i="5" s="1"/>
  <c r="M46" i="5"/>
  <c r="M40" i="5"/>
  <c r="M39" i="5"/>
  <c r="G33" i="5"/>
  <c r="B104" i="5" s="1"/>
  <c r="M32" i="5"/>
  <c r="D104" i="5" s="1"/>
  <c r="G27" i="5"/>
  <c r="G26" i="5"/>
  <c r="G25" i="5"/>
  <c r="H22" i="5"/>
  <c r="G21" i="5"/>
  <c r="G20" i="5"/>
  <c r="G19" i="5"/>
  <c r="G18" i="5"/>
  <c r="G17" i="5"/>
  <c r="G16" i="5"/>
  <c r="G15" i="5"/>
  <c r="G14" i="5"/>
  <c r="G13" i="5"/>
  <c r="G12" i="5"/>
  <c r="M31" i="4"/>
  <c r="D70" i="4"/>
  <c r="M53" i="4"/>
  <c r="G28" i="4"/>
  <c r="M39" i="4"/>
  <c r="C86" i="4"/>
  <c r="B66" i="4"/>
  <c r="M60" i="4"/>
  <c r="M71" i="4"/>
  <c r="M52" i="4"/>
  <c r="M44" i="4"/>
  <c r="M38" i="4"/>
  <c r="H29" i="4"/>
  <c r="H22" i="4"/>
  <c r="B82" i="1"/>
  <c r="B82" i="10"/>
  <c r="B84" i="10"/>
  <c r="B62" i="10"/>
  <c r="M63" i="10"/>
  <c r="C112" i="5" l="1"/>
  <c r="B39" i="5"/>
  <c r="M59" i="4"/>
  <c r="B59" i="4" s="1"/>
  <c r="M58" i="4" s="1"/>
  <c r="B107" i="5"/>
  <c r="D107" i="5"/>
  <c r="M45" i="5"/>
  <c r="G30" i="5"/>
  <c r="B103" i="5" s="1"/>
  <c r="G22" i="5"/>
  <c r="B102" i="5" s="1"/>
  <c r="C88" i="4"/>
  <c r="B52" i="4"/>
  <c r="M51" i="4" s="1"/>
  <c r="B38" i="4"/>
  <c r="C105" i="10"/>
  <c r="C107" i="10" s="1"/>
  <c r="M94" i="10"/>
  <c r="D90" i="10"/>
  <c r="B105" i="10" s="1"/>
  <c r="M89" i="10"/>
  <c r="B76" i="10"/>
  <c r="M75" i="10" s="1"/>
  <c r="M74" i="10" s="1"/>
  <c r="B68" i="10"/>
  <c r="B103" i="10" s="1"/>
  <c r="M67" i="10"/>
  <c r="B102" i="10"/>
  <c r="K52" i="10"/>
  <c r="I52" i="10"/>
  <c r="G52" i="10"/>
  <c r="E52" i="10"/>
  <c r="C52" i="10"/>
  <c r="C46" i="10"/>
  <c r="K45" i="10"/>
  <c r="I45" i="10"/>
  <c r="G45" i="10"/>
  <c r="E45" i="10"/>
  <c r="C45" i="10"/>
  <c r="K44" i="10"/>
  <c r="I44" i="10"/>
  <c r="G44" i="10"/>
  <c r="E44" i="10"/>
  <c r="C44" i="10"/>
  <c r="K43" i="10"/>
  <c r="I43" i="10"/>
  <c r="I46" i="10" s="1"/>
  <c r="G43" i="10"/>
  <c r="E43" i="10"/>
  <c r="C43" i="10"/>
  <c r="K42" i="10"/>
  <c r="K46" i="10" s="1"/>
  <c r="I42" i="10"/>
  <c r="G42" i="10"/>
  <c r="G46" i="10" s="1"/>
  <c r="E42" i="10"/>
  <c r="E46" i="10" s="1"/>
  <c r="C42" i="10"/>
  <c r="G32" i="10"/>
  <c r="G31" i="10"/>
  <c r="G30" i="10"/>
  <c r="G29" i="10"/>
  <c r="G28" i="10"/>
  <c r="G27" i="10"/>
  <c r="G26" i="10"/>
  <c r="G25" i="10"/>
  <c r="G33" i="10" s="1"/>
  <c r="B99" i="10" s="1"/>
  <c r="G24" i="10"/>
  <c r="G20" i="10"/>
  <c r="G21" i="10" s="1"/>
  <c r="B98" i="10" s="1"/>
  <c r="G18" i="10"/>
  <c r="G17" i="10"/>
  <c r="G16" i="10"/>
  <c r="G15" i="10"/>
  <c r="G14" i="10"/>
  <c r="G13" i="10"/>
  <c r="G12" i="10"/>
  <c r="C105" i="3"/>
  <c r="C107" i="3" s="1"/>
  <c r="M94" i="3"/>
  <c r="D90" i="3"/>
  <c r="B105" i="3" s="1"/>
  <c r="M89" i="3"/>
  <c r="B82" i="3"/>
  <c r="B83" i="3" s="1"/>
  <c r="M82" i="3" s="1"/>
  <c r="B76" i="3"/>
  <c r="B68" i="3"/>
  <c r="B103" i="3" s="1"/>
  <c r="M67" i="3"/>
  <c r="M63" i="3"/>
  <c r="M62" i="3"/>
  <c r="B62" i="3"/>
  <c r="B102" i="3" s="1"/>
  <c r="K52" i="3"/>
  <c r="I52" i="3"/>
  <c r="G52" i="3"/>
  <c r="E52" i="3"/>
  <c r="C52" i="3"/>
  <c r="C46" i="3"/>
  <c r="K45" i="3"/>
  <c r="I45" i="3"/>
  <c r="G45" i="3"/>
  <c r="E45" i="3"/>
  <c r="C45" i="3"/>
  <c r="K44" i="3"/>
  <c r="I44" i="3"/>
  <c r="G44" i="3"/>
  <c r="E44" i="3"/>
  <c r="C44" i="3"/>
  <c r="K43" i="3"/>
  <c r="I43" i="3"/>
  <c r="G43" i="3"/>
  <c r="E43" i="3"/>
  <c r="C43" i="3"/>
  <c r="K42" i="3"/>
  <c r="K46" i="3" s="1"/>
  <c r="I42" i="3"/>
  <c r="G42" i="3"/>
  <c r="E42" i="3"/>
  <c r="C42" i="3"/>
  <c r="G32" i="3"/>
  <c r="G31" i="3"/>
  <c r="G30" i="3"/>
  <c r="G29" i="3"/>
  <c r="G28" i="3"/>
  <c r="G27" i="3"/>
  <c r="G26" i="3"/>
  <c r="G25" i="3"/>
  <c r="G24" i="3"/>
  <c r="G20" i="3"/>
  <c r="G18" i="3"/>
  <c r="G17" i="3"/>
  <c r="G16" i="3"/>
  <c r="G15" i="3"/>
  <c r="G14" i="3"/>
  <c r="G13" i="3"/>
  <c r="G12" i="3"/>
  <c r="M83" i="1"/>
  <c r="B83" i="1"/>
  <c r="B82" i="2"/>
  <c r="M80" i="2" s="1"/>
  <c r="C43" i="2"/>
  <c r="E43" i="2"/>
  <c r="G43" i="2"/>
  <c r="I43" i="2"/>
  <c r="K43" i="2"/>
  <c r="C105" i="2"/>
  <c r="C107" i="2" s="1"/>
  <c r="M94" i="2"/>
  <c r="D90" i="2"/>
  <c r="B105" i="2" s="1"/>
  <c r="M89" i="2"/>
  <c r="B76" i="2"/>
  <c r="B68" i="2"/>
  <c r="B103" i="2" s="1"/>
  <c r="M67" i="2"/>
  <c r="M63" i="2"/>
  <c r="B62" i="2"/>
  <c r="B102" i="2" s="1"/>
  <c r="M62" i="2"/>
  <c r="K52" i="2"/>
  <c r="I52" i="2"/>
  <c r="G52" i="2"/>
  <c r="E52" i="2"/>
  <c r="C52" i="2"/>
  <c r="K45" i="2"/>
  <c r="I45" i="2"/>
  <c r="G45" i="2"/>
  <c r="E45" i="2"/>
  <c r="C45" i="2"/>
  <c r="K44" i="2"/>
  <c r="I44" i="2"/>
  <c r="G44" i="2"/>
  <c r="E44" i="2"/>
  <c r="C44" i="2"/>
  <c r="K42" i="2"/>
  <c r="I42" i="2"/>
  <c r="G42" i="2"/>
  <c r="E42" i="2"/>
  <c r="C42" i="2"/>
  <c r="G32" i="2"/>
  <c r="G31" i="2"/>
  <c r="G30" i="2"/>
  <c r="G29" i="2"/>
  <c r="G28" i="2"/>
  <c r="G27" i="2"/>
  <c r="G26" i="2"/>
  <c r="G25" i="2"/>
  <c r="G24" i="2"/>
  <c r="G20" i="2"/>
  <c r="G18" i="2"/>
  <c r="G17" i="2"/>
  <c r="G16" i="2"/>
  <c r="G15" i="2"/>
  <c r="G14" i="2"/>
  <c r="G13" i="2"/>
  <c r="G12" i="2"/>
  <c r="M74" i="1"/>
  <c r="M77" i="3" l="1"/>
  <c r="B78" i="3"/>
  <c r="M75" i="3" s="1"/>
  <c r="B79" i="3" s="1"/>
  <c r="M74" i="3" s="1"/>
  <c r="M77" i="2"/>
  <c r="B79" i="2" s="1"/>
  <c r="M75" i="2"/>
  <c r="M74" i="2" s="1"/>
  <c r="B79" i="10"/>
  <c r="B86" i="10" s="1"/>
  <c r="B104" i="10" s="1"/>
  <c r="B105" i="5"/>
  <c r="D105" i="5"/>
  <c r="B101" i="10"/>
  <c r="B84" i="3"/>
  <c r="B101" i="3"/>
  <c r="G21" i="3"/>
  <c r="B98" i="3" s="1"/>
  <c r="G33" i="3"/>
  <c r="B99" i="3" s="1"/>
  <c r="G46" i="3"/>
  <c r="I46" i="3"/>
  <c r="E46" i="3"/>
  <c r="B84" i="2"/>
  <c r="M79" i="2" s="1"/>
  <c r="G33" i="2"/>
  <c r="B99" i="2" s="1"/>
  <c r="G21" i="2"/>
  <c r="B98" i="2" s="1"/>
  <c r="E46" i="2"/>
  <c r="C46" i="2"/>
  <c r="I46" i="2"/>
  <c r="K46" i="2"/>
  <c r="G46" i="2"/>
  <c r="B101" i="2"/>
  <c r="C106" i="1"/>
  <c r="C108" i="1" s="1"/>
  <c r="D91" i="1"/>
  <c r="B106" i="1" s="1"/>
  <c r="M62" i="1"/>
  <c r="G13" i="1"/>
  <c r="G14" i="1"/>
  <c r="G15" i="1"/>
  <c r="G16" i="1"/>
  <c r="G17" i="1"/>
  <c r="G18" i="1"/>
  <c r="G20" i="1"/>
  <c r="G12" i="1"/>
  <c r="G24" i="1"/>
  <c r="B75" i="1"/>
  <c r="M73" i="1" s="1"/>
  <c r="B78" i="1" s="1"/>
  <c r="B86" i="3" l="1"/>
  <c r="B104" i="3" s="1"/>
  <c r="M72" i="3"/>
  <c r="B100" i="10"/>
  <c r="B107" i="10" s="1"/>
  <c r="B109" i="10" s="1"/>
  <c r="B100" i="3"/>
  <c r="B86" i="2"/>
  <c r="B104" i="2" s="1"/>
  <c r="B100" i="2"/>
  <c r="G21" i="1"/>
  <c r="B99" i="1" s="1"/>
  <c r="M66" i="1"/>
  <c r="D104" i="1" s="1"/>
  <c r="B67" i="1"/>
  <c r="B104" i="1" s="1"/>
  <c r="B107" i="3" l="1"/>
  <c r="B109" i="3" s="1"/>
  <c r="B107" i="2"/>
  <c r="B109" i="2" s="1"/>
  <c r="B110" i="10"/>
  <c r="B110" i="3"/>
  <c r="B110" i="2"/>
  <c r="M65" i="4" l="1"/>
  <c r="G32" i="4"/>
  <c r="B80" i="4" s="1"/>
  <c r="G20" i="4"/>
  <c r="G18" i="4"/>
  <c r="M74" i="4"/>
  <c r="M69" i="4"/>
  <c r="B86" i="4"/>
  <c r="G27" i="4"/>
  <c r="G26" i="4"/>
  <c r="G25" i="4"/>
  <c r="G21" i="4"/>
  <c r="G19" i="4"/>
  <c r="G17" i="4"/>
  <c r="G16" i="4"/>
  <c r="G15" i="4"/>
  <c r="G14" i="4"/>
  <c r="G13" i="4"/>
  <c r="G12" i="4"/>
  <c r="G29" i="4" l="1"/>
  <c r="G22" i="4"/>
  <c r="B78" i="4" s="1"/>
  <c r="B85" i="4"/>
  <c r="B81" i="4"/>
  <c r="B45" i="4"/>
  <c r="B82" i="4" s="1"/>
  <c r="M82" i="1"/>
  <c r="B85" i="1" s="1"/>
  <c r="B83" i="4" l="1"/>
  <c r="B79" i="4"/>
  <c r="B88" i="4"/>
  <c r="B90" i="4" s="1"/>
  <c r="B91" i="4" s="1"/>
  <c r="B87" i="1"/>
  <c r="M95" i="1" l="1"/>
  <c r="M90" i="1"/>
  <c r="K51" i="1"/>
  <c r="I51" i="1"/>
  <c r="G51" i="1"/>
  <c r="E51" i="1"/>
  <c r="C51" i="1"/>
  <c r="K43" i="1"/>
  <c r="K44" i="1"/>
  <c r="I43" i="1"/>
  <c r="I44" i="1"/>
  <c r="K42" i="1"/>
  <c r="I42" i="1"/>
  <c r="G43" i="1"/>
  <c r="G44" i="1"/>
  <c r="G42" i="1"/>
  <c r="E43" i="1"/>
  <c r="E44" i="1"/>
  <c r="E42" i="1"/>
  <c r="C43" i="1"/>
  <c r="C44" i="1"/>
  <c r="C42" i="1"/>
  <c r="G25" i="1"/>
  <c r="G26" i="1"/>
  <c r="G27" i="1"/>
  <c r="G28" i="1"/>
  <c r="G29" i="1"/>
  <c r="G30" i="1"/>
  <c r="G31" i="1"/>
  <c r="G32" i="1"/>
  <c r="G33" i="1" l="1"/>
  <c r="B100" i="1" s="1"/>
  <c r="M61" i="1"/>
  <c r="B61" i="1" s="1"/>
  <c r="G45" i="1"/>
  <c r="I45" i="1"/>
  <c r="E45" i="1"/>
  <c r="K45" i="1"/>
  <c r="C45" i="1"/>
  <c r="D103" i="1" l="1"/>
  <c r="B103" i="1"/>
  <c r="D102" i="1"/>
  <c r="B102" i="1"/>
  <c r="B101" i="1"/>
  <c r="B108" i="1" l="1"/>
  <c r="B110" i="1" s="1"/>
  <c r="D101" i="1"/>
  <c r="B47" i="5"/>
  <c r="M44" i="5" s="1"/>
  <c r="D106" i="5" s="1"/>
  <c r="B106" i="5" l="1"/>
  <c r="B112" i="5" s="1"/>
  <c r="B114" i="5" s="1"/>
  <c r="B115" i="5" s="1"/>
  <c r="B84" i="4"/>
  <c r="B111" i="1"/>
</calcChain>
</file>

<file path=xl/sharedStrings.xml><?xml version="1.0" encoding="utf-8"?>
<sst xmlns="http://schemas.openxmlformats.org/spreadsheetml/2006/main" count="1676" uniqueCount="287">
  <si>
    <t>Points Earned</t>
  </si>
  <si>
    <t>not scored</t>
  </si>
  <si>
    <t>Criterion 2: Facility and Handling Observations</t>
  </si>
  <si>
    <r>
      <rPr>
        <b/>
        <sz val="11"/>
        <color theme="5"/>
        <rFont val="Calibri"/>
        <family val="2"/>
        <scheme val="minor"/>
      </rPr>
      <t>Key Welfare Indicator</t>
    </r>
    <r>
      <rPr>
        <b/>
        <sz val="11"/>
        <color theme="1"/>
        <rFont val="Calibri"/>
        <family val="2"/>
        <scheme val="minor"/>
      </rPr>
      <t xml:space="preserve">
Criterion 5: Falls </t>
    </r>
  </si>
  <si>
    <t>0.1-1.0%</t>
  </si>
  <si>
    <t>1.1-3.0%</t>
  </si>
  <si>
    <t>&gt;3.0%</t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</si>
  <si>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6: Electric Prod Use </t>
    </r>
  </si>
  <si>
    <t>0.1-10.0%</t>
  </si>
  <si>
    <t>&gt;10.0%</t>
  </si>
  <si>
    <r>
      <rPr>
        <b/>
        <sz val="11"/>
        <color theme="5"/>
        <rFont val="Calibri"/>
        <family val="2"/>
        <scheme val="minor"/>
      </rPr>
      <t>Key Welfare Indicator</t>
    </r>
    <r>
      <rPr>
        <b/>
        <sz val="11"/>
        <color theme="1"/>
        <rFont val="Calibri"/>
        <family val="2"/>
        <scheme val="minor"/>
      </rPr>
      <t xml:space="preserve">
Criterion 7: Condition of Animal </t>
    </r>
  </si>
  <si>
    <t>≤1.0%</t>
  </si>
  <si>
    <t>1.1-2.0%</t>
  </si>
  <si>
    <t>&gt;2.0%</t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</si>
  <si>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8: Euthanasia</t>
    </r>
  </si>
  <si>
    <t>0/0</t>
  </si>
  <si>
    <t>Yes</t>
  </si>
  <si>
    <t>No</t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</si>
  <si>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9: Willful Acts of Abuse/Egregious Acts </t>
    </r>
  </si>
  <si>
    <r>
      <t xml:space="preserve">Result </t>
    </r>
    <r>
      <rPr>
        <sz val="10"/>
        <color theme="1"/>
        <rFont val="Calibri"/>
        <family val="2"/>
        <scheme val="minor"/>
      </rPr>
      <t>(Mark Y for Yes or N for No)</t>
    </r>
  </si>
  <si>
    <t>Trailer 1</t>
  </si>
  <si>
    <t>Trailer 2</t>
  </si>
  <si>
    <t>Trailer 3</t>
  </si>
  <si>
    <t>Trailer 4</t>
  </si>
  <si>
    <t>Trailer 5</t>
  </si>
  <si>
    <t>Points Available</t>
  </si>
  <si>
    <t>Points Available Per Trailer</t>
  </si>
  <si>
    <t>Trailer 1 Points Earned</t>
  </si>
  <si>
    <t>Trailer 2 Points Earned</t>
  </si>
  <si>
    <t>Trailer 3 Points Earned</t>
  </si>
  <si>
    <t>Trailer 4 Points Earned</t>
  </si>
  <si>
    <t>Trailer 5 Points Earned</t>
  </si>
  <si>
    <t>Trailer 1 Score:</t>
  </si>
  <si>
    <t>Trailer 2 Score:</t>
  </si>
  <si>
    <t>Trailer 3 Score:</t>
  </si>
  <si>
    <t>Trailer 4 Score:</t>
  </si>
  <si>
    <t>Trailer 5 Score:</t>
  </si>
  <si>
    <r>
      <rPr>
        <b/>
        <sz val="11"/>
        <color theme="5"/>
        <rFont val="Calibri"/>
        <family val="2"/>
        <scheme val="minor"/>
      </rPr>
      <t>Key Welfare Indicator</t>
    </r>
    <r>
      <rPr>
        <b/>
        <sz val="11"/>
        <color theme="1"/>
        <rFont val="Calibri"/>
        <family val="2"/>
        <scheme val="minor"/>
      </rPr>
      <t xml:space="preserve">
Criterion 4: Timeliness of arrival of the truck and trailer and animal unloading </t>
    </r>
  </si>
  <si>
    <r>
      <t xml:space="preserve">Result </t>
    </r>
    <r>
      <rPr>
        <sz val="10"/>
        <color theme="1"/>
        <rFont val="Calibri"/>
        <family val="2"/>
        <scheme val="minor"/>
      </rPr>
      <t>(Mark Y for Yes; N for No; or NA for not observed)</t>
    </r>
  </si>
  <si>
    <t>NA</t>
  </si>
  <si>
    <t>Note if plant employee or truck driver:</t>
  </si>
  <si>
    <t>BACKGROUND</t>
  </si>
  <si>
    <r>
      <t xml:space="preserve">Result </t>
    </r>
    <r>
      <rPr>
        <sz val="10"/>
        <color theme="1"/>
        <rFont val="Calibri"/>
        <family val="2"/>
        <scheme val="minor"/>
      </rPr>
      <t>(input  # of animals)</t>
    </r>
  </si>
  <si>
    <t>0 animals</t>
  </si>
  <si>
    <t>2 animals</t>
  </si>
  <si>
    <t>≥3 animals</t>
  </si>
  <si>
    <t>1 animal</t>
  </si>
  <si>
    <t>100 or more animals audited</t>
  </si>
  <si>
    <t>small plant adjustment: less than 100 animals audited</t>
  </si>
  <si>
    <t>≥2 animals</t>
  </si>
  <si>
    <t>%</t>
  </si>
  <si>
    <t>#</t>
  </si>
  <si>
    <t>input audit result</t>
  </si>
  <si>
    <t>individual trailer points earned</t>
  </si>
  <si>
    <t>criteria points earned</t>
  </si>
  <si>
    <t>≤2.5%</t>
  </si>
  <si>
    <t>2.6-5.0%</t>
  </si>
  <si>
    <t>&gt;5.0%</t>
  </si>
  <si>
    <t xml:space="preserve">Instructions: Input audit results into the light grey fields. Blue fields will calculate points earned based on the audit result.  Certain fields will highlight in yellow when a key welfare indicator is failed and red when a critical welfare indicator is failed.  </t>
  </si>
  <si>
    <t>key welfare indicator failure</t>
  </si>
  <si>
    <t>critical welfare indicator failure</t>
  </si>
  <si>
    <t>Legend</t>
  </si>
  <si>
    <t>&gt;6.0%</t>
  </si>
  <si>
    <t>3.1-6.0%</t>
  </si>
  <si>
    <t>≤3.0%</t>
  </si>
  <si>
    <t>CATTLE SLAUGHTER AUDIT FORM</t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</si>
  <si>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3: Access to Water</t>
    </r>
  </si>
  <si>
    <t xml:space="preserve">Were any willful acts of abuse or egregious acts observed? </t>
  </si>
  <si>
    <r>
      <rPr>
        <b/>
        <sz val="11"/>
        <color theme="5"/>
        <rFont val="Calibri"/>
        <family val="2"/>
        <scheme val="minor"/>
      </rPr>
      <t>Key Welfare Indicator</t>
    </r>
    <r>
      <rPr>
        <b/>
        <sz val="11"/>
        <color theme="1"/>
        <rFont val="Calibri"/>
        <family val="2"/>
        <scheme val="minor"/>
      </rPr>
      <t xml:space="preserve">
Criterion 4: Falls </t>
    </r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</si>
  <si>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5: Electric Prod Use </t>
    </r>
  </si>
  <si>
    <t>≤5.0%</t>
  </si>
  <si>
    <t>5.1-15.0%</t>
  </si>
  <si>
    <t>15.1-25.0%</t>
  </si>
  <si>
    <t>&gt;25.0%</t>
  </si>
  <si>
    <t>0.1-3.0%</t>
  </si>
  <si>
    <t>3.1-5.0%</t>
  </si>
  <si>
    <r>
      <rPr>
        <b/>
        <sz val="11"/>
        <color theme="5"/>
        <rFont val="Calibri"/>
        <family val="2"/>
        <scheme val="minor"/>
      </rPr>
      <t>Key Welfare Indicator</t>
    </r>
    <r>
      <rPr>
        <b/>
        <sz val="11"/>
        <color theme="1"/>
        <rFont val="Calibri"/>
        <family val="2"/>
        <scheme val="minor"/>
      </rPr>
      <t xml:space="preserve">
Criterion 6: Vocalization</t>
    </r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</si>
  <si>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7: Effective Stunning</t>
    </r>
  </si>
  <si>
    <t>99.9-96.0%</t>
  </si>
  <si>
    <t>&lt;96.0%</t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</si>
  <si>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8: Bleed Rail Insensibility</t>
    </r>
  </si>
  <si>
    <t>&lt;100%</t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</si>
  <si>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9: Euthanasia</t>
    </r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</si>
  <si>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10: Willful Acts of Abuse/Egregious Acts </t>
    </r>
  </si>
  <si>
    <t>SWINE SLAUGHTER AUDIT FORM</t>
  </si>
  <si>
    <t>&lt;99.0%</t>
  </si>
  <si>
    <t>99.9-98.0%</t>
  </si>
  <si>
    <t>&lt;98.0%</t>
  </si>
  <si>
    <t>&gt;1.0%</t>
  </si>
  <si>
    <t>Electrical Stunning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</si>
  <si>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Stunning</t>
    </r>
  </si>
  <si>
    <t>Captive Bolt Stunning</t>
  </si>
  <si>
    <t>0.1-4.0%</t>
  </si>
  <si>
    <t>&gt;4.0%</t>
  </si>
  <si>
    <t>SHEEP SLAUGHTER AUDIT FORM</t>
  </si>
  <si>
    <t>0.1-2.5%</t>
  </si>
  <si>
    <t>single file system</t>
  </si>
  <si>
    <t>group system</t>
  </si>
  <si>
    <t>group system small plant adjustment: less than 100 animals audited</t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</si>
  <si>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6: Effective Stunning</t>
    </r>
  </si>
  <si>
    <r>
      <rPr>
        <b/>
        <sz val="11"/>
        <color rgb="FFC00000"/>
        <rFont val="Calibri"/>
        <family val="2"/>
        <scheme val="minor"/>
      </rPr>
      <t>Critical Welfare Indicator</t>
    </r>
    <r>
      <rPr>
        <b/>
        <sz val="11"/>
        <color theme="1"/>
        <rFont val="Calibri"/>
        <family val="2"/>
        <scheme val="minor"/>
      </rPr>
      <t xml:space="preserve">
Criterion 7: Bleed Rail Insensibility</t>
    </r>
  </si>
  <si>
    <r>
      <t xml:space="preserve">Result </t>
    </r>
    <r>
      <rPr>
        <sz val="11"/>
        <color theme="1"/>
        <rFont val="Calibri"/>
        <family val="2"/>
        <scheme val="minor"/>
      </rPr>
      <t>(Input the number of minutes, i.e. for 1 hour and 12 minutes, enter 72)</t>
    </r>
  </si>
  <si>
    <t>≥4 animals</t>
  </si>
  <si>
    <t>BISON SLAUGHTER AUDIT FORM</t>
  </si>
  <si>
    <t>Reason (if applicable for trailer unloading times &gt;120 minutes); leave blank if no reason. Put the reason under the corresponding trailer number</t>
  </si>
  <si>
    <t xml:space="preserve">Notes: </t>
  </si>
  <si>
    <t xml:space="preserve">Plant has a written animal welfare policy for transporters. </t>
  </si>
  <si>
    <t xml:space="preserve">Arrival management process minimizes waiting time at the plant. </t>
  </si>
  <si>
    <t xml:space="preserve">Emergency plans in place for animals in transit. </t>
  </si>
  <si>
    <t xml:space="preserve">Written policy for non-ambulatory and fatigued animals and tools available for handling. </t>
  </si>
  <si>
    <t xml:space="preserve">Documented employee training for livestock receiving. </t>
  </si>
  <si>
    <t xml:space="preserve">Plant has a method for communicating back to the site of trailer loading. 
</t>
  </si>
  <si>
    <t xml:space="preserve">Truck driver or plant employee who unloaded the truck followed plant animal handling policies. </t>
  </si>
  <si>
    <t xml:space="preserve">Electric prod use policy is communicated to truck drivers. </t>
  </si>
  <si>
    <t xml:space="preserve">Total for Criterion 1: </t>
  </si>
  <si>
    <t>n/a</t>
  </si>
  <si>
    <t xml:space="preserve">Total for Criterion 2: </t>
  </si>
  <si>
    <t xml:space="preserve">Plant provides extreme temperature management tools. </t>
  </si>
  <si>
    <t xml:space="preserve">Acceptable handling tools available and utilized as needed. </t>
  </si>
  <si>
    <t xml:space="preserve">Acceptable euthanasia tools available.  </t>
  </si>
  <si>
    <t xml:space="preserve">Maintenance records kept for euthanasia equipment, euthanasia equipment stored properly, and employees trained for euthanasia. </t>
  </si>
  <si>
    <t xml:space="preserve">Gates in unloading area swing freely, latch securely, and have no sharp protrusions. </t>
  </si>
  <si>
    <t xml:space="preserve">Plant has non-slip flooring.  </t>
  </si>
  <si>
    <t xml:space="preserve">Unloading area and ramps in good repair.  </t>
  </si>
  <si>
    <t xml:space="preserve">There is adequate lighting. </t>
  </si>
  <si>
    <t xml:space="preserve">Staff is properly trained and available for receiving animals. </t>
  </si>
  <si>
    <t xml:space="preserve">Auditor Name: </t>
  </si>
  <si>
    <t xml:space="preserve">Date: </t>
  </si>
  <si>
    <t xml:space="preserve">Auditing Company: </t>
  </si>
  <si>
    <t xml:space="preserve">Number of Trucks Audited: </t>
  </si>
  <si>
    <t xml:space="preserve">Plant Location: </t>
  </si>
  <si>
    <t xml:space="preserve">Temperature/Weather Conditions: </t>
  </si>
  <si>
    <t xml:space="preserve">Plant Contact: </t>
  </si>
  <si>
    <t>CATTLE TRANSPORTATION AUDIT FORM</t>
  </si>
  <si>
    <t xml:space="preserve">Criterion 1: Commitment to Animal Welfare - Plant policies and training </t>
  </si>
  <si>
    <r>
      <t xml:space="preserve">Trailer Notes - </t>
    </r>
    <r>
      <rPr>
        <i/>
        <sz val="11"/>
        <color theme="1"/>
        <rFont val="Calibri"/>
        <family val="2"/>
        <scheme val="minor"/>
      </rPr>
      <t>not scored</t>
    </r>
  </si>
  <si>
    <t>Trailer type (straight, drop center/pot belly, farm, other)</t>
  </si>
  <si>
    <t>Cattle type (fed, cull dairy, cull beef, mature bulls, veal calves)</t>
  </si>
  <si>
    <t xml:space="preserve">Has the driver completed a transporter certification program? </t>
  </si>
  <si>
    <t xml:space="preserve">Trailer is loaded at the proper density. </t>
  </si>
  <si>
    <t>Incompatible animals are segregated when required.</t>
  </si>
  <si>
    <t xml:space="preserve">Trailer is properly aligned with the unloading area to prevent animals from escaping or becoming injured. </t>
  </si>
  <si>
    <r>
      <rPr>
        <b/>
        <sz val="11"/>
        <color rgb="FF008000"/>
        <rFont val="Calibri"/>
        <family val="2"/>
        <scheme val="minor"/>
      </rPr>
      <t>Excellent</t>
    </r>
    <r>
      <rPr>
        <sz val="11"/>
        <rFont val="Calibri"/>
        <family val="2"/>
        <scheme val="minor"/>
      </rPr>
      <t xml:space="preserve"> - 30   
</t>
    </r>
    <r>
      <rPr>
        <b/>
        <sz val="11"/>
        <color theme="4"/>
        <rFont val="Calibri"/>
        <family val="2"/>
        <scheme val="minor"/>
      </rPr>
      <t>Acceptable</t>
    </r>
    <r>
      <rPr>
        <sz val="11"/>
        <rFont val="Calibri"/>
        <family val="2"/>
        <scheme val="minor"/>
      </rPr>
      <t xml:space="preserve"> - 20 if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  <scheme val="minor"/>
      </rPr>
      <t xml:space="preserve">2 trailers sampled, 25 if ≥ 3 trailers sampled   
</t>
    </r>
    <r>
      <rPr>
        <b/>
        <sz val="11"/>
        <color rgb="FFC00000"/>
        <rFont val="Calibri"/>
        <family val="2"/>
        <scheme val="minor"/>
      </rPr>
      <t xml:space="preserve">Not Acceptable </t>
    </r>
    <r>
      <rPr>
        <sz val="11"/>
        <rFont val="Calibri"/>
        <family val="2"/>
        <scheme val="minor"/>
      </rPr>
      <t xml:space="preserve">- &lt; 20 if ≤ 2 trailers sampled, &lt; 25 if ≥ 3 trailers sampled  </t>
    </r>
  </si>
  <si>
    <r>
      <rPr>
        <b/>
        <sz val="11"/>
        <color theme="5"/>
        <rFont val="Calibri"/>
        <family val="2"/>
        <scheme val="minor"/>
      </rPr>
      <t>Key Welfare Indicator</t>
    </r>
    <r>
      <rPr>
        <b/>
        <sz val="11"/>
        <color theme="1"/>
        <rFont val="Calibri"/>
        <family val="2"/>
        <scheme val="minor"/>
      </rPr>
      <t xml:space="preserve">
Criterion 3: Set-up and Loading of Trailer</t>
    </r>
  </si>
  <si>
    <r>
      <t xml:space="preserve">Total for Criterion 3: 
</t>
    </r>
    <r>
      <rPr>
        <sz val="11"/>
        <rFont val="Calibri"/>
        <family val="2"/>
        <scheme val="minor"/>
      </rPr>
      <t>(average of trailer scores = sum of individual trailer score/# of trailers sampled)</t>
    </r>
  </si>
  <si>
    <r>
      <t xml:space="preserve">Total time to begin unloading 
</t>
    </r>
    <r>
      <rPr>
        <i/>
        <sz val="10"/>
        <color theme="1"/>
        <rFont val="Calibri"/>
        <family val="2"/>
        <scheme val="minor"/>
      </rPr>
      <t>Within 60 = 40 points
61 to 90 min = 30 points
91 to 120 min = 20 points
&gt; 120 min with reason = 10 points
&gt; 120 min without reason = 0 points</t>
    </r>
  </si>
  <si>
    <r>
      <rPr>
        <i/>
        <sz val="11"/>
        <color theme="1"/>
        <rFont val="Calibri"/>
        <family val="2"/>
        <scheme val="minor"/>
      </rPr>
      <t>Optional note:</t>
    </r>
    <r>
      <rPr>
        <sz val="11"/>
        <color theme="1"/>
        <rFont val="Calibri"/>
        <family val="2"/>
        <scheme val="minor"/>
      </rPr>
      <t xml:space="preserve"> Total unload time </t>
    </r>
    <r>
      <rPr>
        <sz val="10"/>
        <color theme="1"/>
        <rFont val="Calibri"/>
        <family val="2"/>
        <scheme val="minor"/>
      </rPr>
      <t>(not scored)</t>
    </r>
  </si>
  <si>
    <r>
      <t xml:space="preserve">Total for Criterion 4: 
</t>
    </r>
    <r>
      <rPr>
        <sz val="11"/>
        <rFont val="Calibri"/>
        <family val="2"/>
        <scheme val="minor"/>
      </rPr>
      <t>(average of trailer scores = sum of individual trailer score/# of trailers sampled)</t>
    </r>
  </si>
  <si>
    <r>
      <rPr>
        <b/>
        <sz val="11"/>
        <color rgb="FF008000"/>
        <rFont val="Calibri"/>
        <family val="2"/>
        <scheme val="minor"/>
      </rPr>
      <t>Excellent</t>
    </r>
    <r>
      <rPr>
        <sz val="11"/>
        <rFont val="Calibri"/>
        <family val="2"/>
        <scheme val="minor"/>
      </rPr>
      <t xml:space="preserve"> - 40
</t>
    </r>
    <r>
      <rPr>
        <b/>
        <sz val="11"/>
        <color theme="4"/>
        <rFont val="Calibri"/>
        <family val="2"/>
        <scheme val="minor"/>
      </rPr>
      <t>Acceptable</t>
    </r>
    <r>
      <rPr>
        <sz val="11"/>
        <rFont val="Calibri"/>
        <family val="2"/>
        <scheme val="minor"/>
      </rPr>
      <t xml:space="preserve"> - 30 if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  <scheme val="minor"/>
      </rPr>
      <t xml:space="preserve">2 trailers sampled, 35 if ≥ 3 trailers sampled   
</t>
    </r>
    <r>
      <rPr>
        <b/>
        <sz val="11"/>
        <color rgb="FFC00000"/>
        <rFont val="Calibri"/>
        <family val="2"/>
        <scheme val="minor"/>
      </rPr>
      <t xml:space="preserve">Not Acceptable </t>
    </r>
    <r>
      <rPr>
        <sz val="11"/>
        <rFont val="Calibri"/>
        <family val="2"/>
        <scheme val="minor"/>
      </rPr>
      <t xml:space="preserve">- &lt; 30 if ≤ 2 trailers sampled, &lt; 35 if ≥ 3 trailers sampled  </t>
    </r>
  </si>
  <si>
    <t xml:space="preserve">Percentage of falls </t>
  </si>
  <si>
    <t xml:space="preserve">Total for Criterion 5: </t>
  </si>
  <si>
    <t>Excellent</t>
  </si>
  <si>
    <t>Acceptable</t>
  </si>
  <si>
    <t>Intermediate</t>
  </si>
  <si>
    <t>Not Acceptable</t>
  </si>
  <si>
    <t>Number of animals that fell</t>
  </si>
  <si>
    <t>Number of animals audited</t>
  </si>
  <si>
    <t xml:space="preserve">Total for Criterion 6: </t>
  </si>
  <si>
    <t xml:space="preserve">Percentage of compromised animals on the trailer(s) </t>
  </si>
  <si>
    <t>Percentage of animals with poor udder condition</t>
  </si>
  <si>
    <t>Non-ambulatory</t>
  </si>
  <si>
    <t>Delivered/delivering</t>
  </si>
  <si>
    <t>Severe weather impact</t>
  </si>
  <si>
    <t>Total number of compromised animals</t>
  </si>
  <si>
    <t>Poor udder condition</t>
  </si>
  <si>
    <t>Total number of animals with poor udder condition or severe emaciation</t>
  </si>
  <si>
    <r>
      <rPr>
        <b/>
        <sz val="11"/>
        <color theme="1"/>
        <rFont val="Calibri"/>
        <family val="2"/>
        <scheme val="minor"/>
      </rPr>
      <t xml:space="preserve">Total for Criterion 7: </t>
    </r>
    <r>
      <rPr>
        <sz val="11"/>
        <color theme="1"/>
        <rFont val="Calibri"/>
        <family val="2"/>
        <scheme val="minor"/>
      </rPr>
      <t xml:space="preserve">
(sum of points earned)</t>
    </r>
  </si>
  <si>
    <t>Severly injured</t>
  </si>
  <si>
    <t>Severly lame</t>
  </si>
  <si>
    <t>Points Earned:</t>
  </si>
  <si>
    <t>Severly emaciated</t>
  </si>
  <si>
    <t>Were animals observed during the audit that required euthanasia promptly euthanized according to plant policy?</t>
  </si>
  <si>
    <t xml:space="preserve">Note: if euthanasia is not observed, the total number of points available for the audit will be adjusted accordingly. </t>
  </si>
  <si>
    <t>Not Applicable</t>
  </si>
  <si>
    <t xml:space="preserve">Total for Criterion 8: </t>
  </si>
  <si>
    <t>FINAL SCORING</t>
  </si>
  <si>
    <t>Criterion 1</t>
  </si>
  <si>
    <t>Criterion 2</t>
  </si>
  <si>
    <t>Criterion 3 - KWI</t>
  </si>
  <si>
    <t>Criterion 4 - KWI</t>
  </si>
  <si>
    <t>Criterion 5 - KWI</t>
  </si>
  <si>
    <t>Criterion 6 - CWI</t>
  </si>
  <si>
    <t>Criterion 7 - KWI</t>
  </si>
  <si>
    <t>Criterion 8 - CWI</t>
  </si>
  <si>
    <t>Criterion 9 - CWI</t>
  </si>
  <si>
    <t xml:space="preserve">Total: </t>
  </si>
  <si>
    <t xml:space="preserve">Audit Percentage: </t>
  </si>
  <si>
    <r>
      <t xml:space="preserve">Audit Result: 
</t>
    </r>
    <r>
      <rPr>
        <sz val="10"/>
        <color theme="1"/>
        <rFont val="Calibri"/>
        <family val="2"/>
        <scheme val="minor"/>
      </rPr>
      <t>(pass/fail)</t>
    </r>
  </si>
  <si>
    <t>Number of animals electric prod used on</t>
  </si>
  <si>
    <t>Percentage of animals electrically prodded</t>
  </si>
  <si>
    <t>≤1 animals</t>
  </si>
  <si>
    <t>2-3 animals</t>
  </si>
  <si>
    <t>SWINE TRANSPORTATION AUDIT FORM</t>
  </si>
  <si>
    <t>Swine type (market hogs, cull sows, mature boars)</t>
  </si>
  <si>
    <t xml:space="preserve">Compartments are gated. </t>
  </si>
  <si>
    <t>SHEEP TRANSPORTATION AUDIT FORM</t>
  </si>
  <si>
    <t>Sheep type (fed lambs, cull ewes, mature rams)</t>
  </si>
  <si>
    <t>BISON TRANSPORTATION AUDIT FORM</t>
  </si>
  <si>
    <t>Bison type (young bulls, heifers, cull cows, mature bulls)</t>
  </si>
  <si>
    <t>1-2 animalS</t>
  </si>
  <si>
    <t xml:space="preserve">Stunning Method Audited: </t>
  </si>
  <si>
    <t xml:space="preserve">Slaughter Rate (head/hour): </t>
  </si>
  <si>
    <t xml:space="preserve">Weather Conditions: </t>
  </si>
  <si>
    <t xml:space="preserve">Plant has a documented training program for its employees or uses an outside training program on the principles good animal handling.  </t>
  </si>
  <si>
    <t xml:space="preserve">Plant has a protocol that is written or widely understood for handling non-ambulatory animals. </t>
  </si>
  <si>
    <t xml:space="preserve">Plant performs internal audits at least weekly and implements corrective actions as needed.  </t>
  </si>
  <si>
    <t xml:space="preserve">An emergency management plan for livestock is in place.   </t>
  </si>
  <si>
    <t xml:space="preserve">The emergency management plan includes instructions on when/how water will be provided to animals in drive alleys/unloading docks and how feed will be provided if animals are held longer than 24 hours. </t>
  </si>
  <si>
    <t xml:space="preserve">Employees inspect the facility weekly and document for repair any damage or sharp protrusions that may injure animals. 
</t>
  </si>
  <si>
    <t xml:space="preserve">Plant has a protocol for stunning equipment maintenance. </t>
  </si>
  <si>
    <t xml:space="preserve">Employees are trained in handling non-ambulatory animals. </t>
  </si>
  <si>
    <t xml:space="preserve">Special training is provided to stunner operators to ensure proper equipment use and stunning efficacy. </t>
  </si>
  <si>
    <t xml:space="preserve">A written protocol on how to handle a sensible animal on the bleed rail is in place and employees are trained on the protocol.  </t>
  </si>
  <si>
    <t xml:space="preserve">In the crowd pen or bud box, animals flow with stress and discomfort minimized.  </t>
  </si>
  <si>
    <t xml:space="preserve">Non-electrical devices are the primary tool(s) used to move livestock.  </t>
  </si>
  <si>
    <t xml:space="preserve">Holding pens are not overcrowded.  </t>
  </si>
  <si>
    <t xml:space="preserve">Animals in all holding pens have access to clean drinking water.  </t>
  </si>
  <si>
    <t>Good</t>
  </si>
  <si>
    <t xml:space="preserve">If a religious operation or a head holder is used: </t>
  </si>
  <si>
    <t xml:space="preserve">Total for Criterion 4: </t>
  </si>
  <si>
    <t>Percentage of animals electric prodded</t>
  </si>
  <si>
    <t>Number of animals that vocalized</t>
  </si>
  <si>
    <t>Percentage of animals that vocalized</t>
  </si>
  <si>
    <t>Number of animals effectively stunned</t>
  </si>
  <si>
    <t>Percentage of animals stunned correctly with one stun</t>
  </si>
  <si>
    <t>40 or more animals audited</t>
  </si>
  <si>
    <t>small plant adjustment: less than 40 animals audited</t>
  </si>
  <si>
    <t>0 animals misstunned</t>
  </si>
  <si>
    <t>1 animal misstunned if second stun applied correctly</t>
  </si>
  <si>
    <t>&gt;1 animal misstunned</t>
  </si>
  <si>
    <t xml:space="preserve">Total for Criterion 7: </t>
  </si>
  <si>
    <t xml:space="preserve">Note: Effective stunning is not audited in religious slaughter operations that do not use a stunning method prior to slaughter.  Mark NA for the number of animals audited and the total number of points available for the audit will be adjusted accordingly.  </t>
  </si>
  <si>
    <t xml:space="preserve">Number of insensible animals </t>
  </si>
  <si>
    <t>Percentage of insensible animals on the bleed rail</t>
  </si>
  <si>
    <t xml:space="preserve">Total for Criterion 9: </t>
  </si>
  <si>
    <t>Criterion 3 - CWI</t>
  </si>
  <si>
    <t>Criterion 5 - CWI</t>
  </si>
  <si>
    <t>Criterion 6 - KWI</t>
  </si>
  <si>
    <t>Criterion 7 - CWI</t>
  </si>
  <si>
    <t>Criterion 10 - CWI</t>
  </si>
  <si>
    <r>
      <t xml:space="preserve">Is this a religious operation or is a head holder being used? </t>
    </r>
    <r>
      <rPr>
        <sz val="10"/>
        <color theme="1"/>
        <rFont val="Calibri"/>
        <family val="2"/>
        <scheme val="minor"/>
      </rPr>
      <t>(Mark Y for Yes; N for No)</t>
    </r>
  </si>
  <si>
    <r>
      <t xml:space="preserve">CO2 levels or amperage/voltage monitored regularly.  </t>
    </r>
    <r>
      <rPr>
        <i/>
        <sz val="10"/>
        <color theme="1"/>
        <rFont val="Calibri"/>
        <family val="2"/>
        <scheme val="minor"/>
      </rPr>
      <t>(If CO2 or electrical stunning is not used, mark NA and the total number of points available for the audit will be adjusted accordingly.)</t>
    </r>
  </si>
  <si>
    <r>
      <rPr>
        <sz val="11"/>
        <color theme="1"/>
        <rFont val="Calibri"/>
        <family val="2"/>
        <scheme val="minor"/>
      </rPr>
      <t xml:space="preserve">Is it a group system? </t>
    </r>
    <r>
      <rPr>
        <i/>
        <sz val="10"/>
        <color theme="1"/>
        <rFont val="Calibri"/>
        <family val="2"/>
        <scheme val="minor"/>
      </rPr>
      <t>(Mark Y for Yes or N for No)</t>
    </r>
  </si>
  <si>
    <t>% single</t>
  </si>
  <si>
    <t>% group</t>
  </si>
  <si>
    <t>Number of animals with accurate placement</t>
  </si>
  <si>
    <t>Points for accurate placement</t>
  </si>
  <si>
    <t>Percentage of animals effectively stunned</t>
  </si>
  <si>
    <t>Points for effective stunning</t>
  </si>
  <si>
    <t>Number of animals hot wanded</t>
  </si>
  <si>
    <t>Points for hot wanding</t>
  </si>
  <si>
    <t>Percentage of animals with accurate placement</t>
  </si>
  <si>
    <t>Percentage of animals hot wanded</t>
  </si>
  <si>
    <t>0 misplacements</t>
  </si>
  <si>
    <t>1 misplacement</t>
  </si>
  <si>
    <t>≥2 misplacements</t>
  </si>
  <si>
    <t>1 animal misstunned</t>
  </si>
  <si>
    <t>≥2 animals misstunned</t>
  </si>
  <si>
    <t>0 animals hot wanded</t>
  </si>
  <si>
    <t>1 animal hot wanded</t>
  </si>
  <si>
    <t>≥2 animals hot wanded</t>
  </si>
  <si>
    <t>Number of gondolas overloaded</t>
  </si>
  <si>
    <t>Number of gondolas audited</t>
  </si>
  <si>
    <t>Percentage of gondolas overloaded</t>
  </si>
  <si>
    <t>Points for gondola loading</t>
  </si>
  <si>
    <t>25 or more gondolas audited</t>
  </si>
  <si>
    <t>small plant adjustment: less than 25 gondolas audited</t>
  </si>
  <si>
    <t>0 gondolas</t>
  </si>
  <si>
    <t>1 gondola</t>
  </si>
  <si>
    <t>≥2 gondolas</t>
  </si>
  <si>
    <t>MEAT INDUSTRY ANIMAL WELFARE AUDIT</t>
  </si>
  <si>
    <t xml:space="preserve">Audit only one stunning method.  If more than one stunning method is used, audit the method most frequently used.  </t>
  </si>
  <si>
    <t>Note: Gondola loading is not audited for continuous single file systems.  The total number of points available for the audit will be adjusted accordingly.</t>
  </si>
  <si>
    <t>Pass or Fail</t>
  </si>
  <si>
    <t>≤1 animal</t>
  </si>
  <si>
    <t>There are three ways to fail the audit: 1) Fail any of the critical or key welfare indicators (CWIs or KWIs) at a not acceptable level, 2) Fail two of the key welfare indicators at an intermediate level, or 3) have a total score of less than 91% (less than 85% for religious slaughter without stunning).</t>
  </si>
  <si>
    <t xml:space="preserve">There are three ways to fail the audit: 1) Fail any of the critical or key welfare indicators (CWIs or KWIs) at a not acceptable level, 2) Fail two of the key welfare indicators at an intermediate level, or 3) have a total score of less than 90%. </t>
  </si>
  <si>
    <r>
      <t xml:space="preserve">Amperage/voltage monitored regularly.  </t>
    </r>
    <r>
      <rPr>
        <i/>
        <sz val="10"/>
        <color theme="1"/>
        <rFont val="Calibri"/>
        <family val="2"/>
        <scheme val="minor"/>
      </rPr>
      <t>(If electrical stunning is not used, mark NA and the total number of points available for the audit will be adjusted accordingly.)</t>
    </r>
  </si>
  <si>
    <t xml:space="preserve">Note: Effective stunning is not audited in religious slaughter operations that do not use a stunning method prior to slaughter.  Mark NA for the number of animals audited above and the total number of points available for the audit will be adjusted accordingly.  </t>
  </si>
  <si>
    <t>There are three ways to fail the audit: 1) Fail any of the critical or key welfare indicators (CWIs or KWIs) at a not acceptable level, 2) Fail two of the key welfare indicators at an intermediate level, or 3) have a total score of less than 90% (less than 84% for religious slaughter without stunning).</t>
  </si>
  <si>
    <t>There are three ways to fail the audit: 1) Fail any of the critical or key welfare indicators (CWIs or KWIs) at a not acceptable level, 2) Fail two of the key welfare indicators at an intermediate level, or 3) have a total score of less than 91%.</t>
  </si>
  <si>
    <t>Percentage of animals with severe emaciation</t>
  </si>
  <si>
    <t>1-2 animals</t>
  </si>
  <si>
    <t>3-5 animals</t>
  </si>
  <si>
    <t>≥6 animals</t>
  </si>
  <si>
    <t>0.1-5.0%</t>
  </si>
  <si>
    <t>5.1-10.0%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</si>
</sst>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231F2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008000"/>
      <name val="Calibri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A195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</cellStyleXfs>
  <cellXfs count="40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/>
    <xf numFmtId="9" fontId="1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/>
    <xf numFmtId="0" fontId="20" fillId="5" borderId="0" xfId="2" applyFont="1" applyAlignment="1">
      <alignment vertical="center" wrapText="1"/>
    </xf>
    <xf numFmtId="0" fontId="10" fillId="0" borderId="0" xfId="0" applyFont="1" applyAlignment="1">
      <alignment wrapText="1"/>
    </xf>
    <xf numFmtId="9" fontId="0" fillId="0" borderId="0" xfId="1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0" fillId="5" borderId="0" xfId="2" applyFont="1" applyAlignment="1" applyProtection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 applyProtection="1">
      <alignment wrapText="1"/>
      <protection locked="0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3" applyFont="1" applyFill="1" applyAlignment="1" applyProtection="1">
      <alignment wrapText="1"/>
    </xf>
    <xf numFmtId="0" fontId="20" fillId="0" borderId="0" xfId="2" applyFont="1" applyFill="1" applyAlignment="1" applyProtection="1">
      <alignment vertical="center" wrapText="1"/>
    </xf>
    <xf numFmtId="0" fontId="10" fillId="0" borderId="0" xfId="0" applyFont="1" applyFill="1"/>
    <xf numFmtId="0" fontId="0" fillId="7" borderId="0" xfId="0" applyFill="1" applyAlignment="1">
      <alignment vertical="center" wrapText="1"/>
    </xf>
    <xf numFmtId="0" fontId="0" fillId="7" borderId="0" xfId="0" applyFill="1" applyAlignment="1">
      <alignment vertical="center"/>
    </xf>
    <xf numFmtId="0" fontId="25" fillId="0" borderId="8" xfId="0" applyFont="1" applyBorder="1" applyAlignment="1">
      <alignment horizontal="center"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4" borderId="8" xfId="0" applyFill="1" applyBorder="1" applyAlignment="1" applyProtection="1">
      <alignment horizontal="center" wrapText="1"/>
      <protection locked="0"/>
    </xf>
    <xf numFmtId="0" fontId="2" fillId="0" borderId="8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0" fillId="3" borderId="8" xfId="0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2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5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7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9" fontId="0" fillId="0" borderId="8" xfId="1" applyFont="1" applyBorder="1" applyAlignment="1" applyProtection="1">
      <alignment wrapText="1"/>
    </xf>
    <xf numFmtId="0" fontId="7" fillId="0" borderId="0" xfId="0" applyFont="1" applyFill="1" applyAlignment="1">
      <alignment horizontal="center" wrapText="1"/>
    </xf>
    <xf numFmtId="9" fontId="13" fillId="0" borderId="7" xfId="0" applyNumberFormat="1" applyFont="1" applyBorder="1" applyAlignment="1">
      <alignment horizontal="center" wrapText="1"/>
    </xf>
    <xf numFmtId="9" fontId="11" fillId="0" borderId="7" xfId="0" applyNumberFormat="1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9" fillId="0" borderId="7" xfId="0" applyFont="1" applyBorder="1" applyAlignment="1">
      <alignment horizontal="center" vertical="center" wrapText="1"/>
    </xf>
    <xf numFmtId="9" fontId="25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9" fontId="13" fillId="0" borderId="0" xfId="0" applyNumberFormat="1" applyFont="1" applyBorder="1" applyAlignment="1">
      <alignment horizontal="center" wrapText="1"/>
    </xf>
    <xf numFmtId="9" fontId="1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9" fillId="0" borderId="9" xfId="0" applyFont="1" applyBorder="1" applyAlignment="1">
      <alignment horizontal="center" vertical="center" wrapText="1"/>
    </xf>
    <xf numFmtId="9" fontId="2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0" fillId="0" borderId="6" xfId="0" applyNumberFormat="1" applyFill="1" applyBorder="1" applyAlignment="1">
      <alignment horizontal="right" wrapText="1"/>
    </xf>
    <xf numFmtId="0" fontId="0" fillId="0" borderId="6" xfId="0" applyFill="1" applyBorder="1" applyAlignment="1" applyProtection="1">
      <alignment horizontal="center" wrapText="1"/>
      <protection locked="0"/>
    </xf>
    <xf numFmtId="9" fontId="0" fillId="0" borderId="8" xfId="1" applyFont="1" applyBorder="1" applyAlignment="1" applyProtection="1">
      <alignment horizontal="center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9" fontId="1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/>
    <xf numFmtId="9" fontId="11" fillId="0" borderId="0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4" borderId="8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4" borderId="6" xfId="0" applyFont="1" applyFill="1" applyBorder="1" applyAlignment="1" applyProtection="1">
      <alignment horizontal="center" wrapText="1"/>
      <protection locked="0"/>
    </xf>
    <xf numFmtId="0" fontId="12" fillId="4" borderId="7" xfId="0" applyFont="1" applyFill="1" applyBorder="1" applyAlignment="1" applyProtection="1">
      <alignment horizontal="center" wrapText="1"/>
      <protection locked="0"/>
    </xf>
    <xf numFmtId="0" fontId="17" fillId="4" borderId="7" xfId="0" applyFont="1" applyFill="1" applyBorder="1" applyAlignment="1" applyProtection="1">
      <alignment horizontal="center" wrapText="1"/>
      <protection locked="0"/>
    </xf>
    <xf numFmtId="0" fontId="12" fillId="4" borderId="8" xfId="0" applyFont="1" applyFill="1" applyBorder="1" applyAlignment="1" applyProtection="1">
      <alignment horizontal="center" wrapText="1"/>
      <protection locked="0"/>
    </xf>
    <xf numFmtId="0" fontId="0" fillId="0" borderId="6" xfId="0" applyFill="1" applyBorder="1" applyAlignment="1">
      <alignment horizontal="center" wrapText="1"/>
    </xf>
    <xf numFmtId="1" fontId="0" fillId="2" borderId="7" xfId="0" applyNumberFormat="1" applyFill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0" fillId="0" borderId="7" xfId="0" applyFill="1" applyBorder="1" applyAlignment="1">
      <alignment vertical="top" wrapText="1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9" fontId="0" fillId="0" borderId="7" xfId="1" applyFont="1" applyBorder="1" applyAlignment="1" applyProtection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2" borderId="11" xfId="0" applyFill="1" applyBorder="1" applyAlignment="1">
      <alignment horizontal="center" wrapText="1"/>
    </xf>
    <xf numFmtId="9" fontId="0" fillId="0" borderId="0" xfId="1" applyFont="1" applyAlignment="1" applyProtection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2" borderId="7" xfId="0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2" borderId="14" xfId="0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9" fillId="6" borderId="0" xfId="3" applyFont="1" applyAlignment="1">
      <alignment vertical="center" wrapText="1"/>
    </xf>
    <xf numFmtId="0" fontId="19" fillId="6" borderId="0" xfId="3" applyFont="1" applyAlignment="1" applyProtection="1">
      <alignment vertical="center" wrapText="1"/>
    </xf>
    <xf numFmtId="0" fontId="19" fillId="0" borderId="0" xfId="3" applyFont="1" applyFill="1" applyAlignment="1" applyProtection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9" fontId="13" fillId="0" borderId="7" xfId="0" applyNumberFormat="1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7" fillId="0" borderId="7" xfId="0" applyFont="1" applyBorder="1" applyAlignment="1">
      <alignment horizontal="center" wrapText="1"/>
    </xf>
    <xf numFmtId="9" fontId="9" fillId="0" borderId="7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9" fontId="0" fillId="0" borderId="8" xfId="1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9" fontId="13" fillId="0" borderId="0" xfId="0" applyNumberFormat="1" applyFont="1" applyFill="1" applyBorder="1" applyAlignment="1">
      <alignment horizontal="center" wrapText="1"/>
    </xf>
    <xf numFmtId="9" fontId="11" fillId="0" borderId="0" xfId="0" applyNumberFormat="1" applyFont="1" applyFill="1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4" borderId="14" xfId="0" applyFill="1" applyBorder="1" applyAlignment="1" applyProtection="1">
      <alignment horizont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9" fontId="0" fillId="0" borderId="8" xfId="1" applyFont="1" applyBorder="1" applyAlignment="1">
      <alignment horizontal="center" vertical="center" wrapText="1"/>
    </xf>
    <xf numFmtId="9" fontId="0" fillId="0" borderId="7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4" borderId="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9" fontId="13" fillId="0" borderId="7" xfId="1" applyFont="1" applyBorder="1" applyAlignment="1">
      <alignment horizontal="center" wrapText="1"/>
    </xf>
    <xf numFmtId="9" fontId="11" fillId="0" borderId="7" xfId="1" applyFont="1" applyBorder="1" applyAlignment="1">
      <alignment horizontal="center" wrapText="1"/>
    </xf>
    <xf numFmtId="0" fontId="31" fillId="0" borderId="8" xfId="0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4" borderId="6" xfId="0" applyFill="1" applyBorder="1" applyAlignment="1" applyProtection="1">
      <alignment horizontal="center" vertical="center" wrapText="1"/>
      <protection locked="0"/>
    </xf>
    <xf numFmtId="9" fontId="0" fillId="0" borderId="7" xfId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center" vertical="center" wrapText="1"/>
    </xf>
    <xf numFmtId="9" fontId="25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9" fontId="0" fillId="0" borderId="8" xfId="1" applyFont="1" applyBorder="1" applyAlignment="1" applyProtection="1">
      <alignment horizontal="center" vertical="center" wrapText="1"/>
    </xf>
    <xf numFmtId="9" fontId="0" fillId="0" borderId="6" xfId="0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4" borderId="0" xfId="0" applyFill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9" fontId="11" fillId="0" borderId="0" xfId="0" applyNumberFormat="1" applyFont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2" fillId="0" borderId="6" xfId="0" applyFont="1" applyFill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24" fillId="7" borderId="0" xfId="0" applyFont="1" applyFill="1" applyAlignment="1">
      <alignment horizontal="left" vertical="center" wrapText="1"/>
    </xf>
    <xf numFmtId="0" fontId="5" fillId="0" borderId="8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9" fontId="2" fillId="0" borderId="6" xfId="0" applyNumberFormat="1" applyFont="1" applyBorder="1" applyAlignment="1">
      <alignment horizontal="right" wrapText="1"/>
    </xf>
    <xf numFmtId="0" fontId="0" fillId="0" borderId="8" xfId="0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7" fillId="0" borderId="7" xfId="0" applyFont="1" applyBorder="1" applyAlignment="1">
      <alignment horizontal="right" wrapText="1"/>
    </xf>
    <xf numFmtId="0" fontId="12" fillId="0" borderId="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4" borderId="7" xfId="0" applyFill="1" applyBorder="1" applyAlignment="1" applyProtection="1">
      <alignment horizontal="left" wrapText="1"/>
      <protection locked="0"/>
    </xf>
    <xf numFmtId="0" fontId="12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0" fillId="4" borderId="11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wrapText="1"/>
    </xf>
    <xf numFmtId="9" fontId="9" fillId="0" borderId="10" xfId="0" applyNumberFormat="1" applyFont="1" applyBorder="1" applyAlignment="1">
      <alignment horizontal="center" wrapText="1"/>
    </xf>
    <xf numFmtId="9" fontId="11" fillId="0" borderId="11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12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2" fillId="0" borderId="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">
    <cellStyle name="Bad" xfId="2" builtinId="27"/>
    <cellStyle name="Neutral" xfId="3" builtinId="28"/>
    <cellStyle name="Normal" xfId="0" builtinId="0"/>
    <cellStyle name="Percent" xfId="1" builtinId="5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/>
      </font>
      <fill>
        <patternFill>
          <bgColor theme="8" tint="0.79998168889431442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/>
      </font>
      <fill>
        <patternFill>
          <bgColor theme="8" tint="0.79998168889431442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A19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1A9F-DA6C-45FC-AD01-F7C5D9DF3A9E}">
  <dimension ref="A1:N116"/>
  <sheetViews>
    <sheetView showGridLines="0" tabSelected="1" zoomScaleNormal="10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11" width="15.140625" style="1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3" spans="1:13" s="17" customFormat="1" x14ac:dyDescent="0.25">
      <c r="A3" s="2" t="s">
        <v>133</v>
      </c>
      <c r="B3" s="15"/>
      <c r="C3" s="2"/>
      <c r="D3" s="2"/>
      <c r="E3" s="329" t="s">
        <v>61</v>
      </c>
      <c r="F3" s="329"/>
      <c r="G3" s="329"/>
      <c r="H3" s="329"/>
      <c r="I3" s="329"/>
      <c r="J3" s="16"/>
      <c r="K3" s="2"/>
    </row>
    <row r="4" spans="1:13" s="25" customFormat="1" ht="39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8" t="s">
        <v>59</v>
      </c>
      <c r="I4" s="36" t="s">
        <v>60</v>
      </c>
      <c r="J4" s="21"/>
    </row>
    <row r="5" spans="1:13" s="57" customFormat="1" ht="12.75" x14ac:dyDescent="0.2">
      <c r="A5" s="52"/>
      <c r="B5" s="52"/>
      <c r="C5" s="52"/>
      <c r="D5" s="52"/>
      <c r="E5" s="53"/>
      <c r="F5" s="54"/>
      <c r="G5" s="53"/>
      <c r="H5" s="55"/>
      <c r="I5" s="56"/>
      <c r="J5" s="53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129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25" t="s">
        <v>131</v>
      </c>
      <c r="F8" s="325"/>
      <c r="G8" s="325"/>
      <c r="H8" s="325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25"/>
      <c r="F9" s="325"/>
      <c r="G9" s="325"/>
      <c r="H9" s="325"/>
      <c r="I9"/>
      <c r="J9"/>
      <c r="K9"/>
    </row>
    <row r="10" spans="1:13" x14ac:dyDescent="0.25">
      <c r="A10" s="19"/>
      <c r="B10" s="9"/>
      <c r="C10" s="20"/>
      <c r="D10" s="9"/>
      <c r="E10" s="9"/>
      <c r="I10" s="9"/>
      <c r="J10" s="9"/>
      <c r="K10"/>
    </row>
    <row r="11" spans="1:13" ht="41.25" customHeight="1" x14ac:dyDescent="0.25">
      <c r="A11" s="323" t="s">
        <v>134</v>
      </c>
      <c r="B11" s="323"/>
      <c r="C11" s="323"/>
      <c r="D11" s="323"/>
      <c r="E11" s="323"/>
      <c r="F11" s="75" t="s">
        <v>19</v>
      </c>
      <c r="G11" s="76" t="s">
        <v>0</v>
      </c>
      <c r="H11" s="77" t="s">
        <v>25</v>
      </c>
      <c r="I11" s="4"/>
      <c r="J11"/>
      <c r="K11"/>
      <c r="M11" t="s">
        <v>41</v>
      </c>
    </row>
    <row r="12" spans="1:13" x14ac:dyDescent="0.25">
      <c r="A12" s="331" t="s">
        <v>106</v>
      </c>
      <c r="B12" s="331"/>
      <c r="C12" s="331"/>
      <c r="D12" s="331"/>
      <c r="E12" s="331"/>
      <c r="F12" s="148"/>
      <c r="G12" s="72">
        <f>IF(F12="Y",H12,IF(F12="N",0,IF(F12="",0)))</f>
        <v>0</v>
      </c>
      <c r="H12" s="73">
        <v>5</v>
      </c>
      <c r="I12" s="4"/>
    </row>
    <row r="13" spans="1:13" x14ac:dyDescent="0.25">
      <c r="A13" s="318" t="s">
        <v>107</v>
      </c>
      <c r="B13" s="318"/>
      <c r="C13" s="318"/>
      <c r="D13" s="318"/>
      <c r="E13" s="318"/>
      <c r="F13" s="149"/>
      <c r="G13" s="72">
        <f t="shared" ref="G13:G20" si="0">IF(F13="Y",H13,IF(F13="N",0,IF(F13="",0)))</f>
        <v>0</v>
      </c>
      <c r="H13" s="70">
        <v>5</v>
      </c>
      <c r="I13" s="4"/>
    </row>
    <row r="14" spans="1:13" x14ac:dyDescent="0.25">
      <c r="A14" s="318" t="s">
        <v>108</v>
      </c>
      <c r="B14" s="318"/>
      <c r="C14" s="318"/>
      <c r="D14" s="318"/>
      <c r="E14" s="318"/>
      <c r="F14" s="149"/>
      <c r="G14" s="72">
        <f t="shared" si="0"/>
        <v>0</v>
      </c>
      <c r="H14" s="70">
        <v>5</v>
      </c>
      <c r="I14" s="4"/>
    </row>
    <row r="15" spans="1:13" x14ac:dyDescent="0.25">
      <c r="A15" s="318" t="s">
        <v>109</v>
      </c>
      <c r="B15" s="318"/>
      <c r="C15" s="318"/>
      <c r="D15" s="318"/>
      <c r="E15" s="318"/>
      <c r="F15" s="149"/>
      <c r="G15" s="72">
        <f t="shared" si="0"/>
        <v>0</v>
      </c>
      <c r="H15" s="70">
        <v>5</v>
      </c>
      <c r="I15" s="4"/>
    </row>
    <row r="16" spans="1:13" x14ac:dyDescent="0.25">
      <c r="A16" s="318" t="s">
        <v>110</v>
      </c>
      <c r="B16" s="318"/>
      <c r="C16" s="318"/>
      <c r="D16" s="318"/>
      <c r="E16" s="318"/>
      <c r="F16" s="149"/>
      <c r="G16" s="72">
        <f t="shared" si="0"/>
        <v>0</v>
      </c>
      <c r="H16" s="70">
        <v>5</v>
      </c>
      <c r="I16" s="4"/>
    </row>
    <row r="17" spans="1:12" x14ac:dyDescent="0.25">
      <c r="A17" s="334" t="s">
        <v>111</v>
      </c>
      <c r="B17" s="334"/>
      <c r="C17" s="334"/>
      <c r="D17" s="334"/>
      <c r="E17" s="334"/>
      <c r="F17" s="149"/>
      <c r="G17" s="72">
        <f t="shared" si="0"/>
        <v>0</v>
      </c>
      <c r="H17" s="70">
        <v>5</v>
      </c>
      <c r="I17" s="4"/>
      <c r="L17" s="4"/>
    </row>
    <row r="18" spans="1:12" x14ac:dyDescent="0.25">
      <c r="A18" s="318" t="s">
        <v>112</v>
      </c>
      <c r="B18" s="318"/>
      <c r="C18" s="318"/>
      <c r="D18" s="318"/>
      <c r="E18" s="318"/>
      <c r="F18" s="149"/>
      <c r="G18" s="72">
        <f t="shared" si="0"/>
        <v>0</v>
      </c>
      <c r="H18" s="70">
        <v>5</v>
      </c>
      <c r="I18" s="4"/>
    </row>
    <row r="19" spans="1:12" s="13" customFormat="1" x14ac:dyDescent="0.25">
      <c r="A19" s="333" t="s">
        <v>40</v>
      </c>
      <c r="B19" s="333"/>
      <c r="C19" s="333"/>
      <c r="D19" s="333"/>
      <c r="E19" s="333"/>
      <c r="F19" s="150"/>
      <c r="G19" s="152"/>
      <c r="H19" s="70" t="s">
        <v>115</v>
      </c>
      <c r="I19" s="11"/>
      <c r="J19" s="12"/>
      <c r="K19" s="12"/>
    </row>
    <row r="20" spans="1:12" x14ac:dyDescent="0.25">
      <c r="A20" s="332" t="s">
        <v>113</v>
      </c>
      <c r="B20" s="332"/>
      <c r="C20" s="332"/>
      <c r="D20" s="332"/>
      <c r="E20" s="332"/>
      <c r="F20" s="151"/>
      <c r="G20" s="78">
        <f t="shared" si="0"/>
        <v>0</v>
      </c>
      <c r="H20" s="79">
        <v>5</v>
      </c>
      <c r="I20" s="4"/>
    </row>
    <row r="21" spans="1:12" ht="15" customHeight="1" x14ac:dyDescent="0.25">
      <c r="A21" s="326" t="s">
        <v>114</v>
      </c>
      <c r="B21" s="326"/>
      <c r="C21" s="326"/>
      <c r="D21" s="326"/>
      <c r="E21" s="326"/>
      <c r="F21" s="326"/>
      <c r="G21" s="72">
        <f>SUM(G20,G12:G18)</f>
        <v>0</v>
      </c>
      <c r="H21" s="74">
        <v>40</v>
      </c>
      <c r="I21" s="4"/>
    </row>
    <row r="22" spans="1:12" s="49" customFormat="1" ht="15" customHeight="1" x14ac:dyDescent="0.25">
      <c r="A22" s="43"/>
      <c r="B22" s="44"/>
      <c r="C22" s="45"/>
      <c r="D22" s="46"/>
      <c r="E22" s="47"/>
      <c r="F22" s="45"/>
      <c r="G22" s="45"/>
      <c r="H22" s="45"/>
      <c r="I22" s="45"/>
      <c r="J22" s="48"/>
      <c r="K22" s="48"/>
    </row>
    <row r="23" spans="1:12" ht="41.25" customHeight="1" x14ac:dyDescent="0.25">
      <c r="A23" s="301" t="s">
        <v>2</v>
      </c>
      <c r="B23" s="301"/>
      <c r="C23" s="301"/>
      <c r="D23" s="301"/>
      <c r="E23" s="301"/>
      <c r="F23" s="75" t="s">
        <v>19</v>
      </c>
      <c r="G23" s="76" t="s">
        <v>0</v>
      </c>
      <c r="H23" s="77" t="s">
        <v>25</v>
      </c>
      <c r="I23" s="4"/>
    </row>
    <row r="24" spans="1:12" x14ac:dyDescent="0.25">
      <c r="A24" s="300" t="s">
        <v>117</v>
      </c>
      <c r="B24" s="300"/>
      <c r="C24" s="300"/>
      <c r="D24" s="300"/>
      <c r="E24" s="300"/>
      <c r="F24" s="148"/>
      <c r="G24" s="72">
        <f t="shared" ref="G24:G32" si="1">IF(F24="Y",H24,IF(F24="N",0,IF(F24="",0)))</f>
        <v>0</v>
      </c>
      <c r="H24" s="73">
        <v>10</v>
      </c>
      <c r="I24" s="4"/>
    </row>
    <row r="25" spans="1:12" x14ac:dyDescent="0.25">
      <c r="A25" s="317" t="s">
        <v>118</v>
      </c>
      <c r="B25" s="317"/>
      <c r="C25" s="317"/>
      <c r="D25" s="317"/>
      <c r="E25" s="317"/>
      <c r="F25" s="149"/>
      <c r="G25" s="69">
        <f t="shared" si="1"/>
        <v>0</v>
      </c>
      <c r="H25" s="70">
        <v>10</v>
      </c>
      <c r="I25" s="4"/>
    </row>
    <row r="26" spans="1:12" x14ac:dyDescent="0.25">
      <c r="A26" s="317" t="s">
        <v>119</v>
      </c>
      <c r="B26" s="317"/>
      <c r="C26" s="317"/>
      <c r="D26" s="317"/>
      <c r="E26" s="317"/>
      <c r="F26" s="149"/>
      <c r="G26" s="69">
        <f t="shared" si="1"/>
        <v>0</v>
      </c>
      <c r="H26" s="70">
        <v>10</v>
      </c>
      <c r="I26" s="4"/>
    </row>
    <row r="27" spans="1:12" ht="29.25" customHeight="1" x14ac:dyDescent="0.25">
      <c r="A27" s="317" t="s">
        <v>120</v>
      </c>
      <c r="B27" s="317"/>
      <c r="C27" s="317"/>
      <c r="D27" s="317"/>
      <c r="E27" s="317"/>
      <c r="F27" s="149"/>
      <c r="G27" s="69">
        <f t="shared" si="1"/>
        <v>0</v>
      </c>
      <c r="H27" s="70">
        <v>10</v>
      </c>
      <c r="I27" s="4"/>
    </row>
    <row r="28" spans="1:12" x14ac:dyDescent="0.25">
      <c r="A28" s="317" t="s">
        <v>121</v>
      </c>
      <c r="B28" s="317"/>
      <c r="C28" s="317"/>
      <c r="D28" s="317"/>
      <c r="E28" s="317"/>
      <c r="F28" s="149"/>
      <c r="G28" s="69">
        <f t="shared" si="1"/>
        <v>0</v>
      </c>
      <c r="H28" s="70">
        <v>10</v>
      </c>
      <c r="I28" s="4"/>
    </row>
    <row r="29" spans="1:12" x14ac:dyDescent="0.25">
      <c r="A29" s="317" t="s">
        <v>122</v>
      </c>
      <c r="B29" s="317"/>
      <c r="C29" s="317"/>
      <c r="D29" s="317"/>
      <c r="E29" s="317"/>
      <c r="F29" s="149"/>
      <c r="G29" s="69">
        <f t="shared" si="1"/>
        <v>0</v>
      </c>
      <c r="H29" s="70">
        <v>10</v>
      </c>
      <c r="I29" s="4"/>
    </row>
    <row r="30" spans="1:12" x14ac:dyDescent="0.25">
      <c r="A30" s="317" t="s">
        <v>123</v>
      </c>
      <c r="B30" s="317"/>
      <c r="C30" s="317"/>
      <c r="D30" s="317"/>
      <c r="E30" s="317"/>
      <c r="F30" s="149"/>
      <c r="G30" s="69">
        <f t="shared" si="1"/>
        <v>0</v>
      </c>
      <c r="H30" s="70">
        <v>10</v>
      </c>
      <c r="I30" s="4"/>
    </row>
    <row r="31" spans="1:12" x14ac:dyDescent="0.25">
      <c r="A31" s="317" t="s">
        <v>124</v>
      </c>
      <c r="B31" s="317"/>
      <c r="C31" s="317"/>
      <c r="D31" s="317"/>
      <c r="E31" s="317"/>
      <c r="F31" s="149"/>
      <c r="G31" s="69">
        <f t="shared" si="1"/>
        <v>0</v>
      </c>
      <c r="H31" s="70">
        <v>10</v>
      </c>
      <c r="I31" s="4"/>
    </row>
    <row r="32" spans="1:12" x14ac:dyDescent="0.25">
      <c r="A32" s="327" t="s">
        <v>125</v>
      </c>
      <c r="B32" s="327"/>
      <c r="C32" s="327"/>
      <c r="D32" s="327"/>
      <c r="E32" s="327"/>
      <c r="F32" s="151"/>
      <c r="G32" s="78">
        <f t="shared" si="1"/>
        <v>0</v>
      </c>
      <c r="H32" s="80">
        <v>10</v>
      </c>
      <c r="I32" s="4"/>
    </row>
    <row r="33" spans="1:13" x14ac:dyDescent="0.25">
      <c r="A33" s="326" t="s">
        <v>116</v>
      </c>
      <c r="B33" s="326"/>
      <c r="C33" s="326"/>
      <c r="D33" s="326"/>
      <c r="E33" s="326"/>
      <c r="F33" s="326"/>
      <c r="G33" s="72">
        <f>SUM(G24:G32)</f>
        <v>0</v>
      </c>
      <c r="H33" s="73">
        <v>90</v>
      </c>
      <c r="I33" s="4"/>
    </row>
    <row r="34" spans="1:13" s="49" customFormat="1" x14ac:dyDescent="0.25">
      <c r="A34" s="48"/>
      <c r="B34" s="48"/>
      <c r="C34" s="48"/>
      <c r="D34" s="48"/>
      <c r="E34" s="45"/>
      <c r="F34" s="50"/>
      <c r="G34" s="45"/>
      <c r="H34" s="51"/>
      <c r="I34" s="45"/>
      <c r="J34" s="48"/>
      <c r="K34" s="48"/>
    </row>
    <row r="35" spans="1:13" x14ac:dyDescent="0.25">
      <c r="A35" s="301" t="s">
        <v>135</v>
      </c>
      <c r="B35" s="301"/>
      <c r="C35" s="301"/>
      <c r="D35" s="60" t="s">
        <v>20</v>
      </c>
      <c r="E35" s="60" t="s">
        <v>21</v>
      </c>
      <c r="F35" s="60" t="s">
        <v>22</v>
      </c>
      <c r="G35" s="60" t="s">
        <v>23</v>
      </c>
      <c r="H35" s="60" t="s">
        <v>24</v>
      </c>
      <c r="I35"/>
      <c r="J35"/>
      <c r="K35"/>
    </row>
    <row r="36" spans="1:13" ht="16.5" customHeight="1" x14ac:dyDescent="0.25">
      <c r="A36" s="300" t="s">
        <v>136</v>
      </c>
      <c r="B36" s="300"/>
      <c r="C36" s="300"/>
      <c r="D36" s="148"/>
      <c r="E36" s="148"/>
      <c r="F36" s="148"/>
      <c r="G36" s="148"/>
      <c r="H36" s="148"/>
      <c r="I36"/>
      <c r="J36"/>
      <c r="K36"/>
    </row>
    <row r="37" spans="1:13" ht="16.5" customHeight="1" x14ac:dyDescent="0.25">
      <c r="A37" s="317" t="s">
        <v>137</v>
      </c>
      <c r="B37" s="317"/>
      <c r="C37" s="317"/>
      <c r="D37" s="149"/>
      <c r="E37" s="149"/>
      <c r="F37" s="149"/>
      <c r="G37" s="149"/>
      <c r="H37" s="149"/>
      <c r="I37"/>
      <c r="J37"/>
      <c r="K37"/>
    </row>
    <row r="38" spans="1:13" ht="16.5" customHeight="1" x14ac:dyDescent="0.25">
      <c r="A38" s="318" t="s">
        <v>138</v>
      </c>
      <c r="B38" s="318"/>
      <c r="C38" s="318"/>
      <c r="D38" s="149"/>
      <c r="E38" s="149"/>
      <c r="F38" s="149"/>
      <c r="G38" s="149"/>
      <c r="H38" s="149"/>
      <c r="I38"/>
      <c r="J38"/>
      <c r="K38"/>
    </row>
    <row r="39" spans="1:13" s="49" customFormat="1" x14ac:dyDescent="0.25">
      <c r="A39" s="48"/>
      <c r="B39" s="48"/>
      <c r="C39" s="48"/>
      <c r="D39" s="48"/>
      <c r="E39" s="45"/>
      <c r="F39" s="50"/>
      <c r="G39" s="45"/>
      <c r="H39" s="51"/>
      <c r="I39" s="45"/>
      <c r="J39" s="48"/>
      <c r="K39" s="48"/>
    </row>
    <row r="40" spans="1:13" x14ac:dyDescent="0.25">
      <c r="B40" s="336" t="s">
        <v>19</v>
      </c>
      <c r="C40" s="336"/>
      <c r="D40" s="336"/>
      <c r="E40" s="336"/>
      <c r="F40" s="336"/>
      <c r="G40" s="4"/>
      <c r="H40" s="4"/>
      <c r="I40" s="4"/>
    </row>
    <row r="41" spans="1:13" ht="44.25" customHeight="1" x14ac:dyDescent="0.25">
      <c r="A41" s="85" t="s">
        <v>143</v>
      </c>
      <c r="B41" s="86" t="s">
        <v>20</v>
      </c>
      <c r="C41" s="87" t="s">
        <v>27</v>
      </c>
      <c r="D41" s="86" t="s">
        <v>21</v>
      </c>
      <c r="E41" s="87" t="s">
        <v>28</v>
      </c>
      <c r="F41" s="86" t="s">
        <v>22</v>
      </c>
      <c r="G41" s="87" t="s">
        <v>29</v>
      </c>
      <c r="H41" s="86" t="s">
        <v>23</v>
      </c>
      <c r="I41" s="87" t="s">
        <v>30</v>
      </c>
      <c r="J41" s="60" t="s">
        <v>24</v>
      </c>
      <c r="K41" s="87" t="s">
        <v>31</v>
      </c>
      <c r="L41" s="88" t="s">
        <v>26</v>
      </c>
    </row>
    <row r="42" spans="1:13" x14ac:dyDescent="0.25">
      <c r="A42" s="89" t="s">
        <v>139</v>
      </c>
      <c r="B42" s="148"/>
      <c r="C42" s="82">
        <f>IF(B42="Y",L42,IF(B42="N",0,IF(B42="",0)))</f>
        <v>0</v>
      </c>
      <c r="D42" s="148"/>
      <c r="E42" s="82">
        <f>IF(D42="Y",L42,IF(D42="N",0,IF(D42="",0)))</f>
        <v>0</v>
      </c>
      <c r="F42" s="148"/>
      <c r="G42" s="82">
        <f>IF(F42="Y",L42,IF(F42="N",0,IF(F42="",0)))</f>
        <v>0</v>
      </c>
      <c r="H42" s="148"/>
      <c r="I42" s="82">
        <f>IF(H42="Y",L42,IF(H42="N",0,IF(H42="",0)))</f>
        <v>0</v>
      </c>
      <c r="J42" s="148"/>
      <c r="K42" s="82">
        <f>IF(J42="Y",L42,IF(J42="N",0,IF(J42="",0)))</f>
        <v>0</v>
      </c>
      <c r="L42" s="73">
        <v>10</v>
      </c>
    </row>
    <row r="43" spans="1:13" ht="30" x14ac:dyDescent="0.25">
      <c r="A43" s="90" t="s">
        <v>140</v>
      </c>
      <c r="B43" s="149"/>
      <c r="C43" s="81">
        <f>IF(B43="Y",L43,IF(B43="N",0,IF(B43="",0)))</f>
        <v>0</v>
      </c>
      <c r="D43" s="149"/>
      <c r="E43" s="81">
        <f>IF(D43="Y",L43,IF(D43="N",0,IF(D43="",0)))</f>
        <v>0</v>
      </c>
      <c r="F43" s="149"/>
      <c r="G43" s="81">
        <f>IF(F43="Y",L43,IF(F43="N",0,IF(F43="",0)))</f>
        <v>0</v>
      </c>
      <c r="H43" s="149"/>
      <c r="I43" s="81">
        <f>IF(H43="Y",L43,IF(H43="N",0,IF(H43="",0)))</f>
        <v>0</v>
      </c>
      <c r="J43" s="149"/>
      <c r="K43" s="81">
        <f>IF(J43="Y",L43,IF(J43="N",0,IF(J43="",0)))</f>
        <v>0</v>
      </c>
      <c r="L43" s="70">
        <v>10</v>
      </c>
    </row>
    <row r="44" spans="1:13" ht="48.95" customHeight="1" x14ac:dyDescent="0.25">
      <c r="A44" s="91" t="s">
        <v>141</v>
      </c>
      <c r="B44" s="151"/>
      <c r="C44" s="83">
        <f>IF(B44="Y",L44,IF(B44="N",0,IF(B44="",0)))</f>
        <v>0</v>
      </c>
      <c r="D44" s="151"/>
      <c r="E44" s="83">
        <f>IF(D44="Y",L44,IF(D44="N",0,IF(D44="",0)))</f>
        <v>0</v>
      </c>
      <c r="F44" s="151"/>
      <c r="G44" s="83">
        <f>IF(F44="Y",L44,IF(F44="N",0,IF(F44="",0)))</f>
        <v>0</v>
      </c>
      <c r="H44" s="151"/>
      <c r="I44" s="83">
        <f>IF(H44="Y",L44,IF(H44="N",0,IF(H44="",0)))</f>
        <v>0</v>
      </c>
      <c r="J44" s="151"/>
      <c r="K44" s="83">
        <f>IF(J44="Y",L44,IF(J44="N",0,IF(J44="",0)))</f>
        <v>0</v>
      </c>
      <c r="L44" s="80">
        <v>10</v>
      </c>
    </row>
    <row r="45" spans="1:13" x14ac:dyDescent="0.25">
      <c r="A45" s="92"/>
      <c r="B45" s="154" t="s">
        <v>32</v>
      </c>
      <c r="C45" s="82">
        <f>SUM(C42:C44)</f>
        <v>0</v>
      </c>
      <c r="D45" s="154" t="s">
        <v>33</v>
      </c>
      <c r="E45" s="82">
        <f>SUM(E42:E44)</f>
        <v>0</v>
      </c>
      <c r="F45" s="154" t="s">
        <v>34</v>
      </c>
      <c r="G45" s="82">
        <f>SUM(G42:G44)</f>
        <v>0</v>
      </c>
      <c r="H45" s="154" t="s">
        <v>35</v>
      </c>
      <c r="I45" s="82">
        <f>SUM(I42:I44)</f>
        <v>0</v>
      </c>
      <c r="J45" s="154" t="s">
        <v>36</v>
      </c>
      <c r="K45" s="82">
        <f>SUM(K42:K44)</f>
        <v>0</v>
      </c>
      <c r="L45" s="73">
        <v>30</v>
      </c>
    </row>
    <row r="46" spans="1:13" ht="48.95" customHeight="1" x14ac:dyDescent="0.25">
      <c r="A46" s="96" t="s">
        <v>144</v>
      </c>
      <c r="B46" s="153" t="str">
        <f>IF(B42="","",(SUM(C45,E45,G45,I45,K45))/(COUNTA(B42,D42,F42,H42,J42)))</f>
        <v/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t="str">
        <f>IF(B42="","NA",IF((B46&lt;20)*(COUNTA(B42,D42,F42,H42,J42)&lt;3),"KWIF",IF((B46&lt;25)*(COUNTA(B42,D42,F42,H42,J42)&gt;2),"KWIF","PASS")))</f>
        <v>NA</v>
      </c>
    </row>
    <row r="47" spans="1:13" ht="45" customHeight="1" x14ac:dyDescent="0.25">
      <c r="A47" s="319" t="s">
        <v>142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</row>
    <row r="48" spans="1:13" s="49" customFormat="1" x14ac:dyDescent="0.25">
      <c r="A48" s="48"/>
      <c r="B48" s="48"/>
      <c r="C48" s="48"/>
      <c r="D48" s="48"/>
      <c r="E48" s="45"/>
      <c r="F48" s="50"/>
      <c r="G48" s="45"/>
      <c r="H48" s="51"/>
      <c r="I48" s="45"/>
      <c r="J48" s="48"/>
      <c r="K48" s="48"/>
    </row>
    <row r="49" spans="1:14" x14ac:dyDescent="0.25">
      <c r="A49" s="37"/>
      <c r="B49" s="336" t="s">
        <v>101</v>
      </c>
      <c r="C49" s="336"/>
      <c r="D49" s="336"/>
      <c r="E49" s="336"/>
      <c r="F49" s="336"/>
      <c r="G49" s="4"/>
      <c r="H49" s="4"/>
      <c r="I49" s="4"/>
    </row>
    <row r="50" spans="1:14" ht="44.25" customHeight="1" x14ac:dyDescent="0.25">
      <c r="A50" s="85" t="s">
        <v>37</v>
      </c>
      <c r="B50" s="86" t="s">
        <v>20</v>
      </c>
      <c r="C50" s="87" t="s">
        <v>27</v>
      </c>
      <c r="D50" s="86" t="s">
        <v>21</v>
      </c>
      <c r="E50" s="87" t="s">
        <v>28</v>
      </c>
      <c r="F50" s="86" t="s">
        <v>22</v>
      </c>
      <c r="G50" s="87" t="s">
        <v>29</v>
      </c>
      <c r="H50" s="86" t="s">
        <v>23</v>
      </c>
      <c r="I50" s="87" t="s">
        <v>30</v>
      </c>
      <c r="J50" s="60" t="s">
        <v>24</v>
      </c>
      <c r="K50" s="87" t="s">
        <v>31</v>
      </c>
      <c r="L50" s="88" t="s">
        <v>26</v>
      </c>
    </row>
    <row r="51" spans="1:14" ht="79.5" customHeight="1" x14ac:dyDescent="0.25">
      <c r="A51" s="89" t="s">
        <v>145</v>
      </c>
      <c r="B51" s="148"/>
      <c r="C51" s="82">
        <f>IF(B51="",0,IF(B51&lt;61,40,IF((B51&gt;60)*(B51&lt;91),30,IF((B51&gt;90)*8*(B51&lt;121),20,IF((B51&gt;120)*(B52&lt;&gt;""),10,IF((B51&gt;120)*(B52=""),0))))))</f>
        <v>0</v>
      </c>
      <c r="D51" s="148"/>
      <c r="E51" s="82">
        <f>IF(D51="",0,IF(D51&lt;61,40,IF((D51&gt;60)*(D51&lt;91),30,IF((D51&gt;90)*8*(D51&lt;121),20,IF((D51&gt;120)*(D52&lt;&gt;""),10,IF((D51&gt;120)*(D52=""),0))))))</f>
        <v>0</v>
      </c>
      <c r="F51" s="148"/>
      <c r="G51" s="82">
        <f>IF(F51="",0,IF(F51&lt;61,40,IF((F51&gt;60)*(F51&lt;91),30,IF((F51&gt;90)*8*(F51&lt;121),20,IF((F51&gt;120)*(F52&lt;&gt;""),10,IF((F51&gt;120)*(F52=""),0))))))</f>
        <v>0</v>
      </c>
      <c r="H51" s="148"/>
      <c r="I51" s="82">
        <f>IF(H51="",0,IF(H51&lt;61,40,IF((H51&gt;60)*(H51&lt;91),30,IF((H51&gt;90)*8*(H51&lt;121),20,IF((H51&gt;120)*(H52&lt;&gt;""),10,IF((H51&gt;120)*(H52=""),0))))))</f>
        <v>0</v>
      </c>
      <c r="J51" s="148"/>
      <c r="K51" s="82">
        <f>IF(J51="",0,IF(J51&lt;61,40,IF((J51&gt;60)*(J51&lt;91),30,IF((J51&gt;90)*8*(J51&lt;121),20,IF((J51&gt;120)*(J52&lt;&gt;""),10,IF((J51&gt;120)*(J52=""),0))))))</f>
        <v>0</v>
      </c>
      <c r="L51" s="73">
        <v>40</v>
      </c>
    </row>
    <row r="52" spans="1:14" ht="45" x14ac:dyDescent="0.25">
      <c r="A52" s="90" t="s">
        <v>104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95"/>
    </row>
    <row r="53" spans="1:14" x14ac:dyDescent="0.25">
      <c r="A53" s="98" t="s">
        <v>146</v>
      </c>
      <c r="B53" s="320"/>
      <c r="C53" s="321"/>
      <c r="D53" s="320"/>
      <c r="E53" s="321"/>
      <c r="F53" s="320"/>
      <c r="G53" s="321"/>
      <c r="H53" s="320"/>
      <c r="I53" s="321"/>
      <c r="J53" s="320"/>
      <c r="K53" s="321"/>
      <c r="L53" s="97"/>
    </row>
    <row r="54" spans="1:14" ht="45" x14ac:dyDescent="0.25">
      <c r="A54" s="96" t="s">
        <v>147</v>
      </c>
      <c r="B54" s="72" t="str">
        <f>IF(B51="","",(SUM(C51,E51,G51,I51,K51))/(COUNTA(B51,D51,F51,H51,J51)))</f>
        <v/>
      </c>
      <c r="C54" s="338"/>
      <c r="D54" s="339"/>
      <c r="E54" s="339"/>
      <c r="F54" s="339"/>
      <c r="G54" s="339"/>
      <c r="H54" s="339"/>
      <c r="I54" s="339"/>
      <c r="J54" s="339"/>
      <c r="K54" s="339"/>
      <c r="L54" s="339"/>
      <c r="M54" t="str">
        <f>IF(B51="","NA",IF((B54&lt;30)*(COUNTA(B45,D45,F45,H45,J45)&lt;3),"KWIF",IF((B54&lt;35)*(COUNTA(B45,D45,F45,H45,J45)&gt;2),"KWIF","PASS")))</f>
        <v>NA</v>
      </c>
    </row>
    <row r="55" spans="1:14" ht="47.25" customHeight="1" x14ac:dyDescent="0.25">
      <c r="A55" s="341" t="s">
        <v>148</v>
      </c>
      <c r="B55" s="341"/>
      <c r="C55" s="342"/>
      <c r="D55" s="342"/>
      <c r="E55" s="342"/>
      <c r="F55" s="342"/>
      <c r="G55" s="342"/>
      <c r="H55" s="342"/>
      <c r="I55" s="40"/>
      <c r="J55" s="40"/>
      <c r="K55" s="40"/>
      <c r="L55" s="40"/>
    </row>
    <row r="56" spans="1:14" ht="14.25" customHeight="1" x14ac:dyDescent="0.25">
      <c r="A56" s="65"/>
      <c r="B56" s="65"/>
      <c r="C56" s="66"/>
      <c r="D56" s="66"/>
      <c r="E56" s="66"/>
      <c r="F56" s="66"/>
      <c r="G56" s="66"/>
      <c r="H56" s="66"/>
      <c r="I56" s="40"/>
      <c r="J56" s="40"/>
      <c r="K56" s="40"/>
      <c r="L56" s="40"/>
    </row>
    <row r="57" spans="1:14" ht="30" x14ac:dyDescent="0.25">
      <c r="A57" s="85" t="s">
        <v>3</v>
      </c>
      <c r="B57" s="85" t="s">
        <v>42</v>
      </c>
      <c r="D57" s="7"/>
      <c r="E57" s="7"/>
      <c r="F57" s="330" t="s">
        <v>25</v>
      </c>
      <c r="G57" s="330"/>
      <c r="H57" s="330"/>
      <c r="I57" s="330"/>
      <c r="J57"/>
      <c r="K57"/>
    </row>
    <row r="58" spans="1:14" x14ac:dyDescent="0.25">
      <c r="A58" s="89" t="s">
        <v>155</v>
      </c>
      <c r="B58" s="61"/>
      <c r="C58" s="7"/>
      <c r="F58" s="71">
        <v>40</v>
      </c>
      <c r="G58" s="70">
        <v>30</v>
      </c>
      <c r="H58" s="70">
        <v>20</v>
      </c>
      <c r="I58" s="70">
        <v>0</v>
      </c>
      <c r="J58" s="13"/>
      <c r="K58"/>
    </row>
    <row r="59" spans="1:14" ht="15" customHeight="1" x14ac:dyDescent="0.25">
      <c r="A59" s="90" t="s">
        <v>156</v>
      </c>
      <c r="B59" s="63"/>
      <c r="C59" s="305" t="s">
        <v>47</v>
      </c>
      <c r="D59" s="305"/>
      <c r="E59" s="305"/>
      <c r="F59" s="105">
        <v>0</v>
      </c>
      <c r="G59" s="106" t="s">
        <v>4</v>
      </c>
      <c r="H59" s="70" t="s">
        <v>5</v>
      </c>
      <c r="I59" s="70" t="s">
        <v>6</v>
      </c>
      <c r="J59" s="13"/>
      <c r="K59"/>
    </row>
    <row r="60" spans="1:14" ht="15" customHeight="1" x14ac:dyDescent="0.25">
      <c r="A60" s="102" t="s">
        <v>149</v>
      </c>
      <c r="B60" s="103" t="str">
        <f>IF(B59="","",B58/B59)</f>
        <v/>
      </c>
      <c r="C60" s="305" t="s">
        <v>48</v>
      </c>
      <c r="D60" s="305"/>
      <c r="E60" s="305"/>
      <c r="F60" s="71" t="s">
        <v>43</v>
      </c>
      <c r="G60" s="106" t="s">
        <v>46</v>
      </c>
      <c r="H60" s="70" t="s">
        <v>44</v>
      </c>
      <c r="I60" s="70" t="s">
        <v>45</v>
      </c>
      <c r="K60"/>
      <c r="M60" t="str">
        <f>IF(B60="","NA",IF(B61&lt;30,"KWIF","PASS"))</f>
        <v>NA</v>
      </c>
    </row>
    <row r="61" spans="1:14" ht="15" customHeight="1" x14ac:dyDescent="0.25">
      <c r="A61" s="101" t="s">
        <v>150</v>
      </c>
      <c r="B61" s="72">
        <f>IF(B59&lt;100,M62,M61)</f>
        <v>0</v>
      </c>
      <c r="C61" s="8"/>
      <c r="F61" s="107" t="s">
        <v>151</v>
      </c>
      <c r="G61" s="94" t="s">
        <v>152</v>
      </c>
      <c r="H61" s="108" t="s">
        <v>153</v>
      </c>
      <c r="I61" s="109" t="s">
        <v>154</v>
      </c>
      <c r="K61"/>
      <c r="M61" s="3">
        <f>IF(B60="",0,IF(B60=0,F58,IF((B60&gt;0)*(B60&lt;=0.01),G58,IF((B60&gt;0.01)*(B60&lt;=0.03),H58,IF(B60&gt;0.03,I58)))))</f>
        <v>0</v>
      </c>
      <c r="N61" t="s">
        <v>50</v>
      </c>
    </row>
    <row r="62" spans="1:14" x14ac:dyDescent="0.25">
      <c r="C62" s="8"/>
      <c r="K62"/>
      <c r="M62" s="3">
        <f>IF(B58="",0,IF(B58=0,F58,IF(B58=1,G58,IF(B58=2,H58,IF(B58&gt;1,I58)))))</f>
        <v>0</v>
      </c>
      <c r="N62" t="s">
        <v>51</v>
      </c>
    </row>
    <row r="63" spans="1:14" ht="30" x14ac:dyDescent="0.25">
      <c r="A63" s="85" t="s">
        <v>7</v>
      </c>
      <c r="B63" s="85" t="s">
        <v>42</v>
      </c>
      <c r="C63" s="48"/>
      <c r="G63" s="343" t="s">
        <v>25</v>
      </c>
      <c r="H63" s="344"/>
      <c r="I63" s="345"/>
    </row>
    <row r="64" spans="1:14" x14ac:dyDescent="0.25">
      <c r="A64" s="89" t="s">
        <v>188</v>
      </c>
      <c r="B64" s="61"/>
      <c r="C64" s="104"/>
      <c r="D64" s="113"/>
      <c r="E64" s="113"/>
      <c r="F64" s="113"/>
      <c r="G64" s="71">
        <v>50</v>
      </c>
      <c r="H64" s="70">
        <v>40</v>
      </c>
      <c r="I64" s="70">
        <v>0</v>
      </c>
      <c r="J64"/>
      <c r="K64"/>
    </row>
    <row r="65" spans="1:14" ht="15" customHeight="1" x14ac:dyDescent="0.25">
      <c r="A65" s="90" t="s">
        <v>156</v>
      </c>
      <c r="B65" s="63"/>
      <c r="C65" s="47"/>
      <c r="D65" s="330"/>
      <c r="E65" s="330"/>
      <c r="F65" s="330"/>
      <c r="G65" s="105">
        <v>0</v>
      </c>
      <c r="H65" s="106" t="s">
        <v>8</v>
      </c>
      <c r="I65" s="70" t="s">
        <v>9</v>
      </c>
      <c r="J65"/>
      <c r="K65"/>
    </row>
    <row r="66" spans="1:14" x14ac:dyDescent="0.25">
      <c r="A66" s="102" t="s">
        <v>189</v>
      </c>
      <c r="B66" s="103" t="str">
        <f>IF(B65="","",B64/B65)</f>
        <v/>
      </c>
      <c r="C66" s="48"/>
      <c r="D66" s="114"/>
      <c r="E66" s="115"/>
      <c r="F66" s="115"/>
      <c r="G66" s="110" t="s">
        <v>151</v>
      </c>
      <c r="H66" s="111" t="s">
        <v>152</v>
      </c>
      <c r="I66" s="112" t="s">
        <v>154</v>
      </c>
      <c r="M66" t="str">
        <f>IF(B65="","NA",IF(B66&gt;0.1,"CWIF","PASS"))</f>
        <v>NA</v>
      </c>
    </row>
    <row r="67" spans="1:14" x14ac:dyDescent="0.25">
      <c r="A67" s="101" t="s">
        <v>157</v>
      </c>
      <c r="B67" s="72">
        <f>IF(B65="",0,IF(B66=0,G64,IF((B66&gt;0)*(B66&lt;=0.1),H64,IF(B66&gt;0.1,I64))))</f>
        <v>0</v>
      </c>
      <c r="C67" s="45"/>
      <c r="D67" s="114"/>
      <c r="E67" s="115"/>
      <c r="F67" s="115"/>
      <c r="G67" s="119"/>
      <c r="H67" s="120"/>
      <c r="I67" s="121"/>
    </row>
    <row r="68" spans="1:14" x14ac:dyDescent="0.25">
      <c r="C68" s="47"/>
      <c r="D68" s="116"/>
      <c r="E68" s="117"/>
      <c r="F68" s="115"/>
      <c r="G68" s="4"/>
      <c r="H68" s="4"/>
      <c r="I68" s="4"/>
    </row>
    <row r="69" spans="1:14" ht="30" x14ac:dyDescent="0.25">
      <c r="A69" s="85" t="s">
        <v>10</v>
      </c>
      <c r="B69" s="85" t="s">
        <v>42</v>
      </c>
      <c r="C69" s="8"/>
      <c r="D69" s="337"/>
      <c r="E69" s="337"/>
      <c r="F69" s="337"/>
      <c r="G69" s="330" t="s">
        <v>25</v>
      </c>
      <c r="H69" s="330"/>
      <c r="I69" s="330"/>
      <c r="J69" s="11"/>
      <c r="M69" t="str">
        <f>IF(B76="","NA",IF((COUNTIF(M71:M80,"KWIF")),"KWIF","PASS"))</f>
        <v>NA</v>
      </c>
    </row>
    <row r="70" spans="1:14" x14ac:dyDescent="0.25">
      <c r="A70" s="89" t="s">
        <v>160</v>
      </c>
      <c r="B70" s="62"/>
      <c r="C70" s="7"/>
      <c r="D70" s="7"/>
      <c r="E70" s="7"/>
      <c r="F70" s="7"/>
      <c r="G70" s="71">
        <v>20</v>
      </c>
      <c r="H70" s="71">
        <v>15</v>
      </c>
      <c r="I70" s="70">
        <v>0</v>
      </c>
      <c r="J70" s="30"/>
      <c r="K70"/>
    </row>
    <row r="71" spans="1:14" x14ac:dyDescent="0.25">
      <c r="A71" s="90" t="s">
        <v>167</v>
      </c>
      <c r="B71" s="64"/>
      <c r="C71"/>
      <c r="D71" s="305" t="s">
        <v>47</v>
      </c>
      <c r="E71" s="305"/>
      <c r="F71" s="306"/>
      <c r="G71" s="106" t="s">
        <v>11</v>
      </c>
      <c r="H71" s="106" t="s">
        <v>12</v>
      </c>
      <c r="I71" s="70" t="s">
        <v>13</v>
      </c>
      <c r="K71"/>
      <c r="M71" t="str">
        <f>IF(B77="","NA",IF(B78&lt;15,"KWIF","PASS"))</f>
        <v>NA</v>
      </c>
    </row>
    <row r="72" spans="1:14" x14ac:dyDescent="0.25">
      <c r="A72" s="90" t="s">
        <v>168</v>
      </c>
      <c r="B72" s="64"/>
      <c r="D72" s="305" t="s">
        <v>48</v>
      </c>
      <c r="E72" s="305"/>
      <c r="F72" s="306"/>
      <c r="G72" s="71" t="s">
        <v>43</v>
      </c>
      <c r="H72" s="106" t="s">
        <v>46</v>
      </c>
      <c r="I72" s="70" t="s">
        <v>49</v>
      </c>
      <c r="K72"/>
    </row>
    <row r="73" spans="1:14" x14ac:dyDescent="0.25">
      <c r="A73" s="90" t="s">
        <v>161</v>
      </c>
      <c r="B73" s="64"/>
      <c r="C73" s="47"/>
      <c r="F73" s="122"/>
      <c r="G73" s="110" t="s">
        <v>151</v>
      </c>
      <c r="H73" s="111" t="s">
        <v>152</v>
      </c>
      <c r="I73" s="112" t="s">
        <v>154</v>
      </c>
      <c r="K73"/>
      <c r="M73" s="3">
        <f>IF(B77="",0,IF(B77&lt;=0.01,G70,IF((B77&gt;0.01)*(B77&lt;=0.02),H70,IF(B77&gt;0.02,I70))))</f>
        <v>0</v>
      </c>
      <c r="N73" t="s">
        <v>50</v>
      </c>
    </row>
    <row r="74" spans="1:14" x14ac:dyDescent="0.25">
      <c r="A74" s="102" t="s">
        <v>162</v>
      </c>
      <c r="B74" s="84"/>
      <c r="C74" s="47"/>
      <c r="F74" s="122"/>
      <c r="G74" s="123"/>
      <c r="H74" s="124"/>
      <c r="I74" s="125"/>
      <c r="K74"/>
      <c r="M74" s="3">
        <f>IF(B76="",0,IF(B76=0,G70,IF(B76=1,H70,IF(B76&gt;1,I70))))</f>
        <v>0</v>
      </c>
      <c r="N74" t="s">
        <v>51</v>
      </c>
    </row>
    <row r="75" spans="1:14" x14ac:dyDescent="0.25">
      <c r="A75" s="89" t="s">
        <v>163</v>
      </c>
      <c r="B75" s="127">
        <f>SUM(B70:B74)</f>
        <v>0</v>
      </c>
      <c r="C75" s="47"/>
      <c r="F75" s="122"/>
      <c r="G75" s="119"/>
      <c r="H75" s="120"/>
      <c r="I75" s="121"/>
      <c r="K75"/>
    </row>
    <row r="76" spans="1:14" x14ac:dyDescent="0.25">
      <c r="A76" s="90" t="s">
        <v>156</v>
      </c>
      <c r="B76" s="64"/>
      <c r="F76" s="122"/>
      <c r="G76" s="119"/>
      <c r="H76" s="120"/>
      <c r="I76" s="121"/>
      <c r="K76"/>
    </row>
    <row r="77" spans="1:14" ht="30" x14ac:dyDescent="0.25">
      <c r="A77" s="91" t="s">
        <v>158</v>
      </c>
      <c r="B77" s="128" t="str">
        <f>IF(B76="","",B75/B76)</f>
        <v/>
      </c>
    </row>
    <row r="78" spans="1:14" x14ac:dyDescent="0.25">
      <c r="A78" s="126" t="s">
        <v>169</v>
      </c>
      <c r="B78" s="72">
        <f>IF(B76="",M73,IF(B76&lt;100,M74,M73))</f>
        <v>0</v>
      </c>
      <c r="J78" s="30"/>
    </row>
    <row r="79" spans="1:14" ht="15" customHeight="1" x14ac:dyDescent="0.25">
      <c r="B79" s="177"/>
    </row>
    <row r="80" spans="1:14" ht="15" customHeight="1" x14ac:dyDescent="0.25">
      <c r="A80" s="90" t="s">
        <v>170</v>
      </c>
      <c r="B80" s="141"/>
      <c r="F80" s="4"/>
      <c r="G80" s="335" t="s">
        <v>25</v>
      </c>
      <c r="H80" s="335"/>
      <c r="I80" s="335"/>
      <c r="K80" s="38"/>
      <c r="M80" t="str">
        <f>IF(B77="","NA",IF(B85&lt;15,"KWIF","PASS"))</f>
        <v>NA</v>
      </c>
    </row>
    <row r="81" spans="1:14" x14ac:dyDescent="0.25">
      <c r="A81" s="102" t="s">
        <v>164</v>
      </c>
      <c r="B81" s="146"/>
      <c r="C81" s="45"/>
      <c r="F81" s="4"/>
      <c r="G81" s="71">
        <v>20</v>
      </c>
      <c r="H81" s="71">
        <v>15</v>
      </c>
      <c r="I81" s="70">
        <v>0</v>
      </c>
      <c r="J81" s="4"/>
    </row>
    <row r="82" spans="1:14" ht="30" x14ac:dyDescent="0.25">
      <c r="A82" s="129" t="s">
        <v>165</v>
      </c>
      <c r="B82" s="161">
        <f>SUM(B80:B81)</f>
        <v>0</v>
      </c>
      <c r="C82" s="45"/>
      <c r="D82" s="305" t="s">
        <v>47</v>
      </c>
      <c r="E82" s="305"/>
      <c r="F82" s="306"/>
      <c r="G82" s="106" t="s">
        <v>55</v>
      </c>
      <c r="H82" s="106" t="s">
        <v>56</v>
      </c>
      <c r="I82" s="70" t="s">
        <v>57</v>
      </c>
      <c r="J82" s="4"/>
      <c r="M82" s="3">
        <f>IF(B84="",0,IF(B84&lt;=0.025,G81,IF((B84&gt;0.025)*(B84&lt;=0.05),H81,IF(B84&gt;0.05,I81))))</f>
        <v>0</v>
      </c>
      <c r="N82" t="s">
        <v>50</v>
      </c>
    </row>
    <row r="83" spans="1:14" ht="15.75" x14ac:dyDescent="0.25">
      <c r="A83" s="155" t="s">
        <v>156</v>
      </c>
      <c r="B83" s="163">
        <f>B76</f>
        <v>0</v>
      </c>
      <c r="C83" s="307" t="s">
        <v>48</v>
      </c>
      <c r="D83" s="308"/>
      <c r="E83" s="308"/>
      <c r="F83" s="309"/>
      <c r="G83" s="71" t="s">
        <v>274</v>
      </c>
      <c r="H83" s="106" t="s">
        <v>191</v>
      </c>
      <c r="I83" s="70" t="s">
        <v>102</v>
      </c>
      <c r="J83" s="4"/>
      <c r="M83" s="3">
        <f>IF(B76="",0,IF(B82&lt;2,G81,IF((B82&gt;1)*(B82&lt;4),H81,IF(B82&gt;3,I81))))</f>
        <v>0</v>
      </c>
      <c r="N83" t="s">
        <v>51</v>
      </c>
    </row>
    <row r="84" spans="1:14" x14ac:dyDescent="0.25">
      <c r="A84" s="130" t="s">
        <v>159</v>
      </c>
      <c r="B84" s="128" t="str">
        <f>IF(B76="","",B82/B83)</f>
        <v/>
      </c>
      <c r="C84" s="48"/>
      <c r="G84" s="110" t="s">
        <v>151</v>
      </c>
      <c r="H84" s="111" t="s">
        <v>152</v>
      </c>
      <c r="I84" s="112" t="s">
        <v>154</v>
      </c>
      <c r="J84" s="4"/>
    </row>
    <row r="85" spans="1:14" ht="15" customHeight="1" x14ac:dyDescent="0.25">
      <c r="A85" s="126" t="s">
        <v>169</v>
      </c>
      <c r="B85" s="72">
        <f>IF(B76="",M82,IF(B83&lt;100,M83,M82))</f>
        <v>0</v>
      </c>
      <c r="C85" s="4"/>
      <c r="H85" s="32"/>
      <c r="I85" s="32"/>
      <c r="J85" s="4"/>
    </row>
    <row r="86" spans="1:14" x14ac:dyDescent="0.25">
      <c r="B86" s="4"/>
      <c r="D86" s="7"/>
      <c r="E86" s="18"/>
      <c r="F86" s="14"/>
      <c r="G86" s="11"/>
      <c r="H86" s="39"/>
      <c r="I86" s="39"/>
      <c r="J86"/>
      <c r="K86"/>
    </row>
    <row r="87" spans="1:14" ht="30" x14ac:dyDescent="0.25">
      <c r="A87" s="98" t="s">
        <v>166</v>
      </c>
      <c r="B87" s="176">
        <f>SUM(B85,B78)</f>
        <v>0</v>
      </c>
      <c r="C87" s="133"/>
      <c r="D87" s="134"/>
      <c r="E87" s="135"/>
      <c r="F87" s="132"/>
      <c r="G87" s="11"/>
      <c r="H87" s="39"/>
      <c r="I87" s="39"/>
      <c r="J87"/>
      <c r="K87"/>
    </row>
    <row r="88" spans="1:14" ht="15" customHeight="1" x14ac:dyDescent="0.25">
      <c r="C88" s="134"/>
      <c r="D88" s="133"/>
      <c r="E88" s="133"/>
      <c r="F88" s="133"/>
      <c r="H88" s="32"/>
      <c r="I88" s="32"/>
      <c r="J88" s="38"/>
      <c r="K88" s="38"/>
    </row>
    <row r="89" spans="1:14" ht="54" x14ac:dyDescent="0.25">
      <c r="A89" s="314" t="s">
        <v>14</v>
      </c>
      <c r="B89" s="315"/>
      <c r="C89" s="316"/>
      <c r="D89" s="85" t="s">
        <v>38</v>
      </c>
      <c r="E89" s="137"/>
      <c r="F89" s="137"/>
      <c r="G89" s="310" t="s">
        <v>25</v>
      </c>
      <c r="H89" s="310"/>
      <c r="I89" s="310"/>
      <c r="J89" s="9"/>
    </row>
    <row r="90" spans="1:14" ht="43.5" customHeight="1" x14ac:dyDescent="0.25">
      <c r="A90" s="311" t="s">
        <v>171</v>
      </c>
      <c r="B90" s="311"/>
      <c r="C90" s="311"/>
      <c r="D90" s="156"/>
      <c r="E90" s="131"/>
      <c r="F90" s="131"/>
      <c r="G90" s="70">
        <v>50</v>
      </c>
      <c r="H90" s="70">
        <v>0</v>
      </c>
      <c r="I90" s="70" t="s">
        <v>15</v>
      </c>
      <c r="M90" t="str">
        <f>IF(D90="","NA",IF(D90="N","CWIF","PASS"))</f>
        <v>NA</v>
      </c>
    </row>
    <row r="91" spans="1:14" x14ac:dyDescent="0.25">
      <c r="A91" s="313" t="s">
        <v>174</v>
      </c>
      <c r="B91" s="313"/>
      <c r="C91" s="313"/>
      <c r="D91" s="72">
        <f>IF(D90="Y",G90,IF(D90="N",0,IF(D90="NA","",IF(D90="",0))))</f>
        <v>0</v>
      </c>
      <c r="E91" s="131"/>
      <c r="F91" s="131"/>
      <c r="G91" s="70" t="s">
        <v>16</v>
      </c>
      <c r="H91" s="106" t="s">
        <v>17</v>
      </c>
      <c r="I91" s="70" t="s">
        <v>39</v>
      </c>
    </row>
    <row r="92" spans="1:14" x14ac:dyDescent="0.25">
      <c r="A92" s="312" t="s">
        <v>172</v>
      </c>
      <c r="B92" s="312"/>
      <c r="C92" s="312"/>
      <c r="D92" s="312"/>
      <c r="E92" s="132"/>
      <c r="F92" s="131"/>
      <c r="G92" s="111" t="s">
        <v>152</v>
      </c>
      <c r="H92" s="112" t="s">
        <v>154</v>
      </c>
      <c r="I92" s="68" t="s">
        <v>173</v>
      </c>
      <c r="J92" s="7"/>
    </row>
    <row r="93" spans="1:14" x14ac:dyDescent="0.25">
      <c r="A93" s="6"/>
      <c r="B93" s="6"/>
      <c r="C93" s="133"/>
      <c r="D93" s="131"/>
      <c r="E93" s="132"/>
      <c r="F93" s="131"/>
      <c r="G93"/>
      <c r="H93" s="4"/>
      <c r="I93" s="4"/>
      <c r="J93" s="7"/>
    </row>
    <row r="94" spans="1:14" ht="41.25" x14ac:dyDescent="0.25">
      <c r="A94" s="301" t="s">
        <v>18</v>
      </c>
      <c r="B94" s="301"/>
      <c r="C94" s="85" t="s">
        <v>19</v>
      </c>
      <c r="D94" s="134"/>
      <c r="E94" s="136"/>
      <c r="F94" s="136"/>
    </row>
    <row r="95" spans="1:14" x14ac:dyDescent="0.25">
      <c r="A95" s="300" t="s">
        <v>67</v>
      </c>
      <c r="B95" s="300"/>
      <c r="C95" s="62"/>
      <c r="D95" s="14" t="s">
        <v>1</v>
      </c>
      <c r="E95" s="4"/>
      <c r="F95" s="4"/>
      <c r="G95" s="4"/>
      <c r="H95" s="4"/>
      <c r="I95" s="4"/>
      <c r="K95" s="4"/>
      <c r="M95" t="str">
        <f>IF(C95="","NA",IF(C95="Y","CWIF","PASS"))</f>
        <v>NA</v>
      </c>
    </row>
    <row r="96" spans="1:14" x14ac:dyDescent="0.25">
      <c r="C96" s="4"/>
      <c r="D96" s="4"/>
      <c r="E96" s="4"/>
      <c r="F96" s="4"/>
      <c r="G96" s="4"/>
      <c r="H96" s="4"/>
      <c r="I96" s="4"/>
    </row>
    <row r="97" spans="1:11" x14ac:dyDescent="0.25">
      <c r="C97" s="4"/>
      <c r="D97" s="4"/>
      <c r="E97" s="4"/>
      <c r="F97" s="4"/>
      <c r="G97" s="4"/>
      <c r="H97" s="4"/>
      <c r="I97" s="4"/>
    </row>
    <row r="98" spans="1:11" ht="15.75" customHeight="1" x14ac:dyDescent="0.25">
      <c r="A98" s="85" t="s">
        <v>175</v>
      </c>
      <c r="B98" s="172" t="s">
        <v>0</v>
      </c>
      <c r="C98" s="172" t="s">
        <v>25</v>
      </c>
      <c r="D98" s="302" t="s">
        <v>273</v>
      </c>
      <c r="E98" s="302"/>
      <c r="F98" s="4"/>
      <c r="G98" s="4"/>
      <c r="H98" s="4"/>
      <c r="I98" s="4"/>
      <c r="J98"/>
      <c r="K98"/>
    </row>
    <row r="99" spans="1:11" x14ac:dyDescent="0.25">
      <c r="A99" s="231" t="s">
        <v>176</v>
      </c>
      <c r="B99" s="72">
        <f>G21</f>
        <v>0</v>
      </c>
      <c r="C99" s="152">
        <v>40</v>
      </c>
      <c r="D99" s="303" t="s">
        <v>115</v>
      </c>
      <c r="E99" s="303"/>
      <c r="F99" s="4"/>
      <c r="G99" s="4"/>
      <c r="H99" s="4"/>
      <c r="I99" s="4"/>
      <c r="J99"/>
      <c r="K99"/>
    </row>
    <row r="100" spans="1:11" x14ac:dyDescent="0.25">
      <c r="A100" s="232" t="s">
        <v>177</v>
      </c>
      <c r="B100" s="69">
        <f>G33</f>
        <v>0</v>
      </c>
      <c r="C100" s="233">
        <v>90</v>
      </c>
      <c r="D100" s="304" t="s">
        <v>115</v>
      </c>
      <c r="E100" s="304"/>
      <c r="F100" s="4"/>
      <c r="G100" s="4"/>
      <c r="H100" s="4"/>
      <c r="I100" s="4"/>
      <c r="J100"/>
      <c r="K100"/>
    </row>
    <row r="101" spans="1:11" x14ac:dyDescent="0.25">
      <c r="A101" s="234" t="s">
        <v>178</v>
      </c>
      <c r="B101" s="153" t="str">
        <f>B46</f>
        <v/>
      </c>
      <c r="C101" s="233">
        <v>30</v>
      </c>
      <c r="D101" s="292" t="str">
        <f>IF(M46="PASS","Pass",IF(M46="KWIF","Fail",""))</f>
        <v/>
      </c>
      <c r="E101" s="293"/>
      <c r="F101" s="4"/>
      <c r="G101" s="4"/>
      <c r="H101" s="4"/>
      <c r="I101" s="4"/>
      <c r="J101"/>
      <c r="K101"/>
    </row>
    <row r="102" spans="1:11" x14ac:dyDescent="0.25">
      <c r="A102" s="234" t="s">
        <v>179</v>
      </c>
      <c r="B102" s="69" t="str">
        <f>B54</f>
        <v/>
      </c>
      <c r="C102" s="233">
        <v>40</v>
      </c>
      <c r="D102" s="292" t="str">
        <f>IF(M54="PASS","Pass",IF(M54="KWIF","Fail",""))</f>
        <v/>
      </c>
      <c r="E102" s="293"/>
      <c r="F102" s="4"/>
      <c r="G102" s="4"/>
      <c r="H102" s="4"/>
      <c r="I102" s="4"/>
      <c r="J102"/>
      <c r="K102"/>
    </row>
    <row r="103" spans="1:11" x14ac:dyDescent="0.25">
      <c r="A103" s="234" t="s">
        <v>180</v>
      </c>
      <c r="B103" s="69">
        <f>B61</f>
        <v>0</v>
      </c>
      <c r="C103" s="233">
        <v>40</v>
      </c>
      <c r="D103" s="292" t="str">
        <f>IF(M60="PASS","Pass",IF(M60="KWIF","Fail",""))</f>
        <v/>
      </c>
      <c r="E103" s="293"/>
      <c r="F103" s="4"/>
      <c r="G103" s="4"/>
      <c r="H103" s="4"/>
      <c r="I103" s="4"/>
      <c r="J103"/>
      <c r="K103"/>
    </row>
    <row r="104" spans="1:11" x14ac:dyDescent="0.25">
      <c r="A104" s="235" t="s">
        <v>181</v>
      </c>
      <c r="B104" s="69">
        <f>B67</f>
        <v>0</v>
      </c>
      <c r="C104" s="233">
        <v>50</v>
      </c>
      <c r="D104" s="292" t="str">
        <f>IF(M66="PASS","Pass",IF(M66="CWIF","Fail",""))</f>
        <v/>
      </c>
      <c r="E104" s="293"/>
      <c r="F104" s="4"/>
      <c r="G104" s="4"/>
      <c r="H104" s="4"/>
      <c r="I104" s="4"/>
      <c r="J104"/>
      <c r="K104"/>
    </row>
    <row r="105" spans="1:11" x14ac:dyDescent="0.25">
      <c r="A105" s="234" t="s">
        <v>182</v>
      </c>
      <c r="B105" s="69">
        <f>B78</f>
        <v>0</v>
      </c>
      <c r="C105" s="233">
        <v>40</v>
      </c>
      <c r="D105" s="292" t="str">
        <f>IF(M69="PASS","Pass",IF(M69="KWIF","Fail",""))</f>
        <v/>
      </c>
      <c r="E105" s="293"/>
      <c r="F105" s="4"/>
      <c r="G105" s="4"/>
      <c r="H105" s="4"/>
      <c r="I105" s="4"/>
      <c r="J105"/>
      <c r="K105"/>
    </row>
    <row r="106" spans="1:11" x14ac:dyDescent="0.25">
      <c r="A106" s="235" t="s">
        <v>183</v>
      </c>
      <c r="B106" s="69">
        <f>D91</f>
        <v>0</v>
      </c>
      <c r="C106" s="233">
        <f>IF(D90="NA",0, 50)</f>
        <v>50</v>
      </c>
      <c r="D106" s="292" t="str">
        <f>IF(D90="Y","Pass",(IF(D90="N","Fail",(IF(D90="NA","n/a","")))))</f>
        <v/>
      </c>
      <c r="E106" s="293"/>
      <c r="F106" s="4"/>
      <c r="G106" s="4"/>
      <c r="H106" s="4"/>
      <c r="I106" s="4"/>
      <c r="J106"/>
      <c r="K106"/>
    </row>
    <row r="107" spans="1:11" x14ac:dyDescent="0.25">
      <c r="A107" s="236" t="s">
        <v>184</v>
      </c>
      <c r="B107" s="78" t="s">
        <v>115</v>
      </c>
      <c r="C107" s="237" t="s">
        <v>115</v>
      </c>
      <c r="D107" s="294" t="str">
        <f>IF(C95="Y","Fail",(IF(C95="N","Pass","")))</f>
        <v/>
      </c>
      <c r="E107" s="295"/>
      <c r="F107" s="4"/>
      <c r="G107" s="4"/>
      <c r="H107" s="4"/>
      <c r="I107" s="4"/>
      <c r="J107"/>
      <c r="K107"/>
    </row>
    <row r="108" spans="1:11" x14ac:dyDescent="0.25">
      <c r="A108" s="101" t="s">
        <v>185</v>
      </c>
      <c r="B108" s="157">
        <f>SUM(B99:B106)</f>
        <v>0</v>
      </c>
      <c r="C108" s="158">
        <f>SUM(C99:C106)</f>
        <v>380</v>
      </c>
      <c r="D108" s="296" t="s">
        <v>115</v>
      </c>
      <c r="E108" s="296"/>
      <c r="F108" s="4"/>
      <c r="G108" s="4"/>
      <c r="H108" s="4"/>
      <c r="I108" s="4"/>
      <c r="J108"/>
      <c r="K108"/>
    </row>
    <row r="109" spans="1:11" x14ac:dyDescent="0.25">
      <c r="B109" s="4"/>
      <c r="C109" s="4"/>
      <c r="D109" s="4"/>
      <c r="E109" s="4"/>
      <c r="F109" s="4"/>
      <c r="G109" s="4"/>
      <c r="H109" s="4"/>
      <c r="I109" s="4"/>
      <c r="J109"/>
      <c r="K109"/>
    </row>
    <row r="110" spans="1:11" x14ac:dyDescent="0.25">
      <c r="A110" s="98" t="s">
        <v>186</v>
      </c>
      <c r="B110" s="159">
        <f>B108/C108</f>
        <v>0</v>
      </c>
      <c r="D110" s="4"/>
      <c r="E110" s="10"/>
      <c r="F110" s="4"/>
      <c r="G110" s="4"/>
      <c r="H110" s="4"/>
      <c r="I110" s="4"/>
      <c r="J110"/>
      <c r="K110"/>
    </row>
    <row r="111" spans="1:11" ht="28.5" customHeight="1" x14ac:dyDescent="0.25">
      <c r="A111" s="100" t="s">
        <v>187</v>
      </c>
      <c r="B111" s="160" t="str">
        <f>IF(COUNTIF(M:M,"KWIF")&gt;1,"FAIL",IF(COUNTIF(M:M,"CWIF"),"FAIL",IF(B110&gt;=0.9,"PASS",IF(B110&lt;0.9,"FAIL"))))</f>
        <v>FAIL</v>
      </c>
      <c r="C111" s="298" t="s">
        <v>276</v>
      </c>
      <c r="D111" s="299"/>
      <c r="E111" s="299"/>
      <c r="F111" s="299"/>
      <c r="G111" s="299"/>
      <c r="H111" s="299"/>
      <c r="I111" s="299"/>
      <c r="J111"/>
      <c r="K111"/>
    </row>
    <row r="112" spans="1:11" x14ac:dyDescent="0.25">
      <c r="C112" s="4"/>
      <c r="D112" s="4"/>
      <c r="E112" s="4"/>
      <c r="F112" s="4"/>
      <c r="G112" s="4"/>
      <c r="H112" s="4"/>
      <c r="I112" s="4"/>
    </row>
    <row r="113" spans="1:10" x14ac:dyDescent="0.25">
      <c r="A113" s="1" t="s">
        <v>105</v>
      </c>
      <c r="H113" s="27"/>
      <c r="I113" s="27"/>
      <c r="J113" s="27"/>
    </row>
    <row r="114" spans="1:10" x14ac:dyDescent="0.25">
      <c r="A114" s="297"/>
      <c r="B114" s="297"/>
      <c r="C114" s="297"/>
      <c r="D114" s="297"/>
      <c r="E114" s="297"/>
      <c r="F114" s="297"/>
      <c r="G114" s="297"/>
      <c r="H114" s="297"/>
      <c r="I114" s="297"/>
      <c r="J114" s="27"/>
    </row>
    <row r="115" spans="1:10" x14ac:dyDescent="0.25">
      <c r="A115" s="297"/>
      <c r="B115" s="297"/>
      <c r="C115" s="297"/>
      <c r="D115" s="297"/>
      <c r="E115" s="297"/>
      <c r="F115" s="297"/>
      <c r="G115" s="297"/>
      <c r="H115" s="297"/>
      <c r="I115" s="297"/>
      <c r="J115" s="27"/>
    </row>
    <row r="116" spans="1:10" x14ac:dyDescent="0.25">
      <c r="A116" s="297"/>
      <c r="B116" s="297"/>
      <c r="C116" s="297"/>
      <c r="D116" s="297"/>
      <c r="E116" s="297"/>
      <c r="F116" s="297"/>
      <c r="G116" s="297"/>
      <c r="H116" s="297"/>
      <c r="I116" s="297"/>
      <c r="J116" s="27"/>
    </row>
  </sheetData>
  <mergeCells count="83">
    <mergeCell ref="G80:I80"/>
    <mergeCell ref="B40:F40"/>
    <mergeCell ref="B49:F49"/>
    <mergeCell ref="D69:F69"/>
    <mergeCell ref="C54:L54"/>
    <mergeCell ref="B52:C52"/>
    <mergeCell ref="D52:E52"/>
    <mergeCell ref="F52:G52"/>
    <mergeCell ref="H52:I52"/>
    <mergeCell ref="J52:K52"/>
    <mergeCell ref="A55:H55"/>
    <mergeCell ref="F57:I57"/>
    <mergeCell ref="C59:E59"/>
    <mergeCell ref="G63:I63"/>
    <mergeCell ref="D71:F71"/>
    <mergeCell ref="D72:F72"/>
    <mergeCell ref="A4:D4"/>
    <mergeCell ref="E3:I3"/>
    <mergeCell ref="G69:I69"/>
    <mergeCell ref="D65:F65"/>
    <mergeCell ref="C60:E60"/>
    <mergeCell ref="A16:E16"/>
    <mergeCell ref="A15:E15"/>
    <mergeCell ref="A14:E14"/>
    <mergeCell ref="A13:E13"/>
    <mergeCell ref="A12:E12"/>
    <mergeCell ref="A21:F21"/>
    <mergeCell ref="A20:E20"/>
    <mergeCell ref="A19:E19"/>
    <mergeCell ref="A18:E18"/>
    <mergeCell ref="A17:E17"/>
    <mergeCell ref="A24:E24"/>
    <mergeCell ref="A33:F33"/>
    <mergeCell ref="A32:E32"/>
    <mergeCell ref="A31:E31"/>
    <mergeCell ref="A30:E30"/>
    <mergeCell ref="A29:E29"/>
    <mergeCell ref="A1:I1"/>
    <mergeCell ref="A11:E11"/>
    <mergeCell ref="A23:E23"/>
    <mergeCell ref="A35:C35"/>
    <mergeCell ref="A36:C36"/>
    <mergeCell ref="A6:D6"/>
    <mergeCell ref="E6:H6"/>
    <mergeCell ref="A7:D7"/>
    <mergeCell ref="E7:H7"/>
    <mergeCell ref="A8:D8"/>
    <mergeCell ref="E8:H9"/>
    <mergeCell ref="A9:D9"/>
    <mergeCell ref="A28:E28"/>
    <mergeCell ref="A27:E27"/>
    <mergeCell ref="A26:E26"/>
    <mergeCell ref="A25:E25"/>
    <mergeCell ref="A37:C37"/>
    <mergeCell ref="A38:C38"/>
    <mergeCell ref="A47:L47"/>
    <mergeCell ref="J53:K53"/>
    <mergeCell ref="H53:I53"/>
    <mergeCell ref="F53:G53"/>
    <mergeCell ref="D53:E53"/>
    <mergeCell ref="B53:C53"/>
    <mergeCell ref="D82:F82"/>
    <mergeCell ref="C83:F83"/>
    <mergeCell ref="G89:I89"/>
    <mergeCell ref="A90:C90"/>
    <mergeCell ref="A92:D92"/>
    <mergeCell ref="A91:C91"/>
    <mergeCell ref="A89:C89"/>
    <mergeCell ref="A95:B95"/>
    <mergeCell ref="A94:B94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A114:I116"/>
    <mergeCell ref="C111:I111"/>
  </mergeCells>
  <conditionalFormatting sqref="B46">
    <cfRule type="expression" dxfId="106" priority="23">
      <formula>$M$46="KWIF"</formula>
    </cfRule>
  </conditionalFormatting>
  <conditionalFormatting sqref="B54:B56">
    <cfRule type="expression" dxfId="105" priority="26">
      <formula>$M$54="KWIF"</formula>
    </cfRule>
  </conditionalFormatting>
  <conditionalFormatting sqref="B60">
    <cfRule type="expression" dxfId="104" priority="13">
      <formula>$M$60="KWIF"</formula>
    </cfRule>
  </conditionalFormatting>
  <conditionalFormatting sqref="D90:D91">
    <cfRule type="endsWith" dxfId="103" priority="30" operator="endsWith" text="N">
      <formula>RIGHT(D90,LEN("N"))="N"</formula>
    </cfRule>
  </conditionalFormatting>
  <conditionalFormatting sqref="C95">
    <cfRule type="containsText" dxfId="102" priority="21" operator="containsText" text="Y">
      <formula>NOT(ISERROR(SEARCH("Y",C95)))</formula>
    </cfRule>
  </conditionalFormatting>
  <conditionalFormatting sqref="B111">
    <cfRule type="containsText" dxfId="101" priority="19" operator="containsText" text="PASS">
      <formula>NOT(ISERROR(SEARCH("PASS",B111)))</formula>
    </cfRule>
    <cfRule type="containsText" dxfId="100" priority="20" operator="containsText" text="FAIL">
      <formula>NOT(ISERROR(SEARCH("FAIL",B111)))</formula>
    </cfRule>
  </conditionalFormatting>
  <conditionalFormatting sqref="B77">
    <cfRule type="expression" dxfId="99" priority="35">
      <formula>$M$71="KWIF"</formula>
    </cfRule>
  </conditionalFormatting>
  <conditionalFormatting sqref="B84">
    <cfRule type="expression" dxfId="98" priority="36">
      <formula>$M$80="KWIF"</formula>
    </cfRule>
  </conditionalFormatting>
  <conditionalFormatting sqref="D101:E107">
    <cfRule type="cellIs" dxfId="97" priority="4" operator="equal">
      <formula>"Pass"</formula>
    </cfRule>
  </conditionalFormatting>
  <conditionalFormatting sqref="B66">
    <cfRule type="expression" dxfId="96" priority="3">
      <formula>$M$66="CWIF"</formula>
    </cfRule>
  </conditionalFormatting>
  <conditionalFormatting sqref="D101:E103 D105:E105">
    <cfRule type="containsText" dxfId="95" priority="2" operator="containsText" text="Fail">
      <formula>NOT(ISERROR(SEARCH("Fail",D101)))</formula>
    </cfRule>
  </conditionalFormatting>
  <conditionalFormatting sqref="D104:E104 D106:E107">
    <cfRule type="containsText" dxfId="94" priority="1" operator="containsText" text="Fail">
      <formula>NOT(ISERROR(SEARCH("Fail",D104)))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4292-70AE-4783-97C0-72AC7A3B5674}">
  <dimension ref="A1:N115"/>
  <sheetViews>
    <sheetView showGridLines="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11" width="15.140625" style="1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3" spans="1:13" s="17" customFormat="1" x14ac:dyDescent="0.25">
      <c r="A3" s="2" t="s">
        <v>197</v>
      </c>
      <c r="B3" s="15"/>
      <c r="C3" s="2"/>
      <c r="D3" s="2"/>
      <c r="E3" s="329" t="s">
        <v>61</v>
      </c>
      <c r="F3" s="329"/>
      <c r="G3" s="329"/>
      <c r="H3" s="329"/>
      <c r="I3" s="329"/>
      <c r="J3" s="16"/>
      <c r="K3" s="2"/>
    </row>
    <row r="4" spans="1:13" s="25" customFormat="1" ht="38.25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8" t="s">
        <v>59</v>
      </c>
      <c r="I4" s="36" t="s">
        <v>60</v>
      </c>
      <c r="J4" s="21"/>
    </row>
    <row r="5" spans="1:13" s="57" customFormat="1" ht="12.75" x14ac:dyDescent="0.2">
      <c r="A5" s="52"/>
      <c r="B5" s="52"/>
      <c r="C5" s="52"/>
      <c r="D5" s="52"/>
      <c r="E5" s="53"/>
      <c r="F5" s="54"/>
      <c r="G5" s="53"/>
      <c r="H5" s="55"/>
      <c r="I5" s="56"/>
      <c r="J5" s="53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129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25" t="s">
        <v>131</v>
      </c>
      <c r="F8" s="325"/>
      <c r="G8" s="325"/>
      <c r="H8" s="325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25"/>
      <c r="F9" s="325"/>
      <c r="G9" s="325"/>
      <c r="H9" s="325"/>
      <c r="I9"/>
      <c r="J9"/>
      <c r="K9"/>
    </row>
    <row r="10" spans="1:13" x14ac:dyDescent="0.25">
      <c r="A10" s="19"/>
      <c r="B10" s="9"/>
      <c r="C10" s="20"/>
      <c r="D10" s="9"/>
      <c r="E10" s="9"/>
      <c r="I10" s="9"/>
      <c r="J10" s="9"/>
      <c r="K10"/>
    </row>
    <row r="11" spans="1:13" ht="41.25" customHeight="1" x14ac:dyDescent="0.25">
      <c r="A11" s="323" t="s">
        <v>134</v>
      </c>
      <c r="B11" s="323"/>
      <c r="C11" s="323"/>
      <c r="D11" s="323"/>
      <c r="E11" s="323"/>
      <c r="F11" s="138" t="s">
        <v>19</v>
      </c>
      <c r="G11" s="76" t="s">
        <v>0</v>
      </c>
      <c r="H11" s="77" t="s">
        <v>25</v>
      </c>
      <c r="I11" s="4"/>
      <c r="J11"/>
      <c r="K11"/>
      <c r="M11" t="s">
        <v>41</v>
      </c>
    </row>
    <row r="12" spans="1:13" x14ac:dyDescent="0.25">
      <c r="A12" s="331" t="s">
        <v>106</v>
      </c>
      <c r="B12" s="331"/>
      <c r="C12" s="331"/>
      <c r="D12" s="331"/>
      <c r="E12" s="331"/>
      <c r="F12" s="148"/>
      <c r="G12" s="72">
        <f>IF(F12="Y",H12,IF(F12="N",0,IF(F12="",0)))</f>
        <v>0</v>
      </c>
      <c r="H12" s="73">
        <v>5</v>
      </c>
      <c r="I12" s="4"/>
    </row>
    <row r="13" spans="1:13" x14ac:dyDescent="0.25">
      <c r="A13" s="318" t="s">
        <v>107</v>
      </c>
      <c r="B13" s="318"/>
      <c r="C13" s="318"/>
      <c r="D13" s="318"/>
      <c r="E13" s="318"/>
      <c r="F13" s="149"/>
      <c r="G13" s="72">
        <f t="shared" ref="G13:G20" si="0">IF(F13="Y",H13,IF(F13="N",0,IF(F13="",0)))</f>
        <v>0</v>
      </c>
      <c r="H13" s="70">
        <v>5</v>
      </c>
      <c r="I13" s="4"/>
    </row>
    <row r="14" spans="1:13" x14ac:dyDescent="0.25">
      <c r="A14" s="318" t="s">
        <v>108</v>
      </c>
      <c r="B14" s="318"/>
      <c r="C14" s="318"/>
      <c r="D14" s="318"/>
      <c r="E14" s="318"/>
      <c r="F14" s="149"/>
      <c r="G14" s="72">
        <f t="shared" si="0"/>
        <v>0</v>
      </c>
      <c r="H14" s="70">
        <v>5</v>
      </c>
      <c r="I14" s="4"/>
    </row>
    <row r="15" spans="1:13" x14ac:dyDescent="0.25">
      <c r="A15" s="318" t="s">
        <v>109</v>
      </c>
      <c r="B15" s="318"/>
      <c r="C15" s="318"/>
      <c r="D15" s="318"/>
      <c r="E15" s="318"/>
      <c r="F15" s="149"/>
      <c r="G15" s="72">
        <f t="shared" si="0"/>
        <v>0</v>
      </c>
      <c r="H15" s="70">
        <v>5</v>
      </c>
      <c r="I15" s="4"/>
    </row>
    <row r="16" spans="1:13" x14ac:dyDescent="0.25">
      <c r="A16" s="318" t="s">
        <v>110</v>
      </c>
      <c r="B16" s="318"/>
      <c r="C16" s="318"/>
      <c r="D16" s="318"/>
      <c r="E16" s="318"/>
      <c r="F16" s="149"/>
      <c r="G16" s="72">
        <f t="shared" si="0"/>
        <v>0</v>
      </c>
      <c r="H16" s="70">
        <v>5</v>
      </c>
      <c r="I16" s="4"/>
    </row>
    <row r="17" spans="1:12" x14ac:dyDescent="0.25">
      <c r="A17" s="334" t="s">
        <v>111</v>
      </c>
      <c r="B17" s="334"/>
      <c r="C17" s="334"/>
      <c r="D17" s="334"/>
      <c r="E17" s="334"/>
      <c r="F17" s="149"/>
      <c r="G17" s="72">
        <f t="shared" si="0"/>
        <v>0</v>
      </c>
      <c r="H17" s="70">
        <v>5</v>
      </c>
      <c r="I17" s="4"/>
      <c r="L17" s="4"/>
    </row>
    <row r="18" spans="1:12" x14ac:dyDescent="0.25">
      <c r="A18" s="318" t="s">
        <v>112</v>
      </c>
      <c r="B18" s="318"/>
      <c r="C18" s="318"/>
      <c r="D18" s="318"/>
      <c r="E18" s="318"/>
      <c r="F18" s="149"/>
      <c r="G18" s="72">
        <f t="shared" si="0"/>
        <v>0</v>
      </c>
      <c r="H18" s="70">
        <v>5</v>
      </c>
      <c r="I18" s="4"/>
    </row>
    <row r="19" spans="1:12" s="13" customFormat="1" x14ac:dyDescent="0.25">
      <c r="A19" s="333" t="s">
        <v>40</v>
      </c>
      <c r="B19" s="333"/>
      <c r="C19" s="333"/>
      <c r="D19" s="333"/>
      <c r="E19" s="333"/>
      <c r="F19" s="150"/>
      <c r="G19" s="152"/>
      <c r="H19" s="70" t="s">
        <v>115</v>
      </c>
      <c r="I19" s="11"/>
      <c r="J19" s="12"/>
      <c r="K19" s="12"/>
    </row>
    <row r="20" spans="1:12" x14ac:dyDescent="0.25">
      <c r="A20" s="332" t="s">
        <v>113</v>
      </c>
      <c r="B20" s="332"/>
      <c r="C20" s="332"/>
      <c r="D20" s="332"/>
      <c r="E20" s="332"/>
      <c r="F20" s="151"/>
      <c r="G20" s="78">
        <f t="shared" si="0"/>
        <v>0</v>
      </c>
      <c r="H20" s="79">
        <v>5</v>
      </c>
      <c r="I20" s="4"/>
    </row>
    <row r="21" spans="1:12" ht="15" customHeight="1" x14ac:dyDescent="0.25">
      <c r="A21" s="326" t="s">
        <v>114</v>
      </c>
      <c r="B21" s="326"/>
      <c r="C21" s="326"/>
      <c r="D21" s="326"/>
      <c r="E21" s="326"/>
      <c r="F21" s="326"/>
      <c r="G21" s="72">
        <f>SUM(G20,G12:G18)</f>
        <v>0</v>
      </c>
      <c r="H21" s="74">
        <v>40</v>
      </c>
      <c r="I21" s="4"/>
    </row>
    <row r="22" spans="1:12" s="49" customFormat="1" ht="15" customHeight="1" x14ac:dyDescent="0.25">
      <c r="A22" s="43"/>
      <c r="B22" s="44"/>
      <c r="C22" s="45"/>
      <c r="D22" s="46"/>
      <c r="E22" s="47"/>
      <c r="F22" s="45"/>
      <c r="G22" s="45"/>
      <c r="H22" s="45"/>
      <c r="I22" s="45"/>
      <c r="J22" s="48"/>
      <c r="K22" s="48"/>
    </row>
    <row r="23" spans="1:12" ht="41.25" customHeight="1" x14ac:dyDescent="0.25">
      <c r="A23" s="301" t="s">
        <v>2</v>
      </c>
      <c r="B23" s="301"/>
      <c r="C23" s="301"/>
      <c r="D23" s="301"/>
      <c r="E23" s="301"/>
      <c r="F23" s="138" t="s">
        <v>19</v>
      </c>
      <c r="G23" s="76" t="s">
        <v>0</v>
      </c>
      <c r="H23" s="77" t="s">
        <v>25</v>
      </c>
      <c r="I23" s="4"/>
    </row>
    <row r="24" spans="1:12" x14ac:dyDescent="0.25">
      <c r="A24" s="300" t="s">
        <v>117</v>
      </c>
      <c r="B24" s="300"/>
      <c r="C24" s="300"/>
      <c r="D24" s="300"/>
      <c r="E24" s="300"/>
      <c r="F24" s="148"/>
      <c r="G24" s="72">
        <f t="shared" ref="G24:G32" si="1">IF(F24="Y",H24,IF(F24="N",0,IF(F24="",0)))</f>
        <v>0</v>
      </c>
      <c r="H24" s="73">
        <v>10</v>
      </c>
      <c r="I24" s="4"/>
    </row>
    <row r="25" spans="1:12" x14ac:dyDescent="0.25">
      <c r="A25" s="317" t="s">
        <v>118</v>
      </c>
      <c r="B25" s="317"/>
      <c r="C25" s="317"/>
      <c r="D25" s="317"/>
      <c r="E25" s="317"/>
      <c r="F25" s="149"/>
      <c r="G25" s="69">
        <f t="shared" si="1"/>
        <v>0</v>
      </c>
      <c r="H25" s="70">
        <v>10</v>
      </c>
      <c r="I25" s="4"/>
    </row>
    <row r="26" spans="1:12" x14ac:dyDescent="0.25">
      <c r="A26" s="317" t="s">
        <v>119</v>
      </c>
      <c r="B26" s="317"/>
      <c r="C26" s="317"/>
      <c r="D26" s="317"/>
      <c r="E26" s="317"/>
      <c r="F26" s="149"/>
      <c r="G26" s="69">
        <f t="shared" si="1"/>
        <v>0</v>
      </c>
      <c r="H26" s="70">
        <v>10</v>
      </c>
      <c r="I26" s="4"/>
    </row>
    <row r="27" spans="1:12" ht="29.25" customHeight="1" x14ac:dyDescent="0.25">
      <c r="A27" s="317" t="s">
        <v>120</v>
      </c>
      <c r="B27" s="317"/>
      <c r="C27" s="317"/>
      <c r="D27" s="317"/>
      <c r="E27" s="317"/>
      <c r="F27" s="149"/>
      <c r="G27" s="69">
        <f t="shared" si="1"/>
        <v>0</v>
      </c>
      <c r="H27" s="70">
        <v>10</v>
      </c>
      <c r="I27" s="4"/>
    </row>
    <row r="28" spans="1:12" x14ac:dyDescent="0.25">
      <c r="A28" s="317" t="s">
        <v>121</v>
      </c>
      <c r="B28" s="317"/>
      <c r="C28" s="317"/>
      <c r="D28" s="317"/>
      <c r="E28" s="317"/>
      <c r="F28" s="149"/>
      <c r="G28" s="69">
        <f t="shared" si="1"/>
        <v>0</v>
      </c>
      <c r="H28" s="70">
        <v>10</v>
      </c>
      <c r="I28" s="4"/>
    </row>
    <row r="29" spans="1:12" x14ac:dyDescent="0.25">
      <c r="A29" s="317" t="s">
        <v>122</v>
      </c>
      <c r="B29" s="317"/>
      <c r="C29" s="317"/>
      <c r="D29" s="317"/>
      <c r="E29" s="317"/>
      <c r="F29" s="149"/>
      <c r="G29" s="69">
        <f t="shared" si="1"/>
        <v>0</v>
      </c>
      <c r="H29" s="70">
        <v>10</v>
      </c>
      <c r="I29" s="4"/>
    </row>
    <row r="30" spans="1:12" x14ac:dyDescent="0.25">
      <c r="A30" s="317" t="s">
        <v>123</v>
      </c>
      <c r="B30" s="317"/>
      <c r="C30" s="317"/>
      <c r="D30" s="317"/>
      <c r="E30" s="317"/>
      <c r="F30" s="149"/>
      <c r="G30" s="69">
        <f t="shared" si="1"/>
        <v>0</v>
      </c>
      <c r="H30" s="70">
        <v>10</v>
      </c>
      <c r="I30" s="4"/>
    </row>
    <row r="31" spans="1:12" x14ac:dyDescent="0.25">
      <c r="A31" s="317" t="s">
        <v>124</v>
      </c>
      <c r="B31" s="317"/>
      <c r="C31" s="317"/>
      <c r="D31" s="317"/>
      <c r="E31" s="317"/>
      <c r="F31" s="149"/>
      <c r="G31" s="69">
        <f t="shared" si="1"/>
        <v>0</v>
      </c>
      <c r="H31" s="70">
        <v>10</v>
      </c>
      <c r="I31" s="4"/>
    </row>
    <row r="32" spans="1:12" x14ac:dyDescent="0.25">
      <c r="A32" s="327" t="s">
        <v>125</v>
      </c>
      <c r="B32" s="327"/>
      <c r="C32" s="327"/>
      <c r="D32" s="327"/>
      <c r="E32" s="327"/>
      <c r="F32" s="151"/>
      <c r="G32" s="78">
        <f t="shared" si="1"/>
        <v>0</v>
      </c>
      <c r="H32" s="80">
        <v>10</v>
      </c>
      <c r="I32" s="4"/>
    </row>
    <row r="33" spans="1:13" x14ac:dyDescent="0.25">
      <c r="A33" s="326" t="s">
        <v>116</v>
      </c>
      <c r="B33" s="326"/>
      <c r="C33" s="326"/>
      <c r="D33" s="326"/>
      <c r="E33" s="326"/>
      <c r="F33" s="326"/>
      <c r="G33" s="72">
        <f>SUM(G24:G32)</f>
        <v>0</v>
      </c>
      <c r="H33" s="73">
        <v>90</v>
      </c>
      <c r="I33" s="4"/>
    </row>
    <row r="34" spans="1:13" s="49" customFormat="1" x14ac:dyDescent="0.25">
      <c r="A34" s="48"/>
      <c r="B34" s="48"/>
      <c r="C34" s="48"/>
      <c r="D34" s="48"/>
      <c r="E34" s="45"/>
      <c r="F34" s="50"/>
      <c r="G34" s="45"/>
      <c r="H34" s="51"/>
      <c r="I34" s="45"/>
      <c r="J34" s="48"/>
      <c r="K34" s="48"/>
    </row>
    <row r="35" spans="1:13" x14ac:dyDescent="0.25">
      <c r="A35" s="301" t="s">
        <v>135</v>
      </c>
      <c r="B35" s="301"/>
      <c r="C35" s="301"/>
      <c r="D35" s="60" t="s">
        <v>20</v>
      </c>
      <c r="E35" s="60" t="s">
        <v>21</v>
      </c>
      <c r="F35" s="60" t="s">
        <v>22</v>
      </c>
      <c r="G35" s="60" t="s">
        <v>23</v>
      </c>
      <c r="H35" s="60" t="s">
        <v>24</v>
      </c>
      <c r="I35"/>
      <c r="J35"/>
      <c r="K35"/>
    </row>
    <row r="36" spans="1:13" ht="16.5" customHeight="1" x14ac:dyDescent="0.25">
      <c r="A36" s="300" t="s">
        <v>136</v>
      </c>
      <c r="B36" s="300"/>
      <c r="C36" s="300"/>
      <c r="D36" s="148"/>
      <c r="E36" s="148"/>
      <c r="F36" s="148"/>
      <c r="G36" s="148"/>
      <c r="H36" s="148"/>
      <c r="I36"/>
      <c r="J36"/>
      <c r="K36"/>
    </row>
    <row r="37" spans="1:13" ht="16.5" customHeight="1" x14ac:dyDescent="0.25">
      <c r="A37" s="317" t="s">
        <v>198</v>
      </c>
      <c r="B37" s="317"/>
      <c r="C37" s="317"/>
      <c r="D37" s="149"/>
      <c r="E37" s="149"/>
      <c r="F37" s="149"/>
      <c r="G37" s="149"/>
      <c r="H37" s="149"/>
      <c r="I37"/>
      <c r="J37"/>
      <c r="K37"/>
    </row>
    <row r="38" spans="1:13" ht="16.5" customHeight="1" x14ac:dyDescent="0.25">
      <c r="A38" s="318" t="s">
        <v>138</v>
      </c>
      <c r="B38" s="318"/>
      <c r="C38" s="318"/>
      <c r="D38" s="149"/>
      <c r="E38" s="149"/>
      <c r="F38" s="149"/>
      <c r="G38" s="149"/>
      <c r="H38" s="149"/>
      <c r="I38"/>
      <c r="J38"/>
      <c r="K38"/>
    </row>
    <row r="39" spans="1:13" s="49" customFormat="1" x14ac:dyDescent="0.25">
      <c r="A39" s="48"/>
      <c r="B39" s="48"/>
      <c r="C39" s="48"/>
      <c r="D39" s="48"/>
      <c r="E39" s="45"/>
      <c r="F39" s="50"/>
      <c r="G39" s="45"/>
      <c r="H39" s="51"/>
      <c r="I39" s="45"/>
      <c r="J39" s="48"/>
      <c r="K39" s="48"/>
    </row>
    <row r="40" spans="1:13" x14ac:dyDescent="0.25">
      <c r="B40" s="336" t="s">
        <v>19</v>
      </c>
      <c r="C40" s="336"/>
      <c r="D40" s="336"/>
      <c r="E40" s="336"/>
      <c r="F40" s="336"/>
      <c r="G40" s="4"/>
      <c r="H40" s="4"/>
      <c r="I40" s="4"/>
    </row>
    <row r="41" spans="1:13" ht="44.25" customHeight="1" x14ac:dyDescent="0.25">
      <c r="A41" s="85" t="s">
        <v>143</v>
      </c>
      <c r="B41" s="86" t="s">
        <v>20</v>
      </c>
      <c r="C41" s="87" t="s">
        <v>27</v>
      </c>
      <c r="D41" s="86" t="s">
        <v>21</v>
      </c>
      <c r="E41" s="87" t="s">
        <v>28</v>
      </c>
      <c r="F41" s="86" t="s">
        <v>22</v>
      </c>
      <c r="G41" s="87" t="s">
        <v>29</v>
      </c>
      <c r="H41" s="86" t="s">
        <v>23</v>
      </c>
      <c r="I41" s="87" t="s">
        <v>30</v>
      </c>
      <c r="J41" s="60" t="s">
        <v>24</v>
      </c>
      <c r="K41" s="87" t="s">
        <v>31</v>
      </c>
      <c r="L41" s="88" t="s">
        <v>26</v>
      </c>
    </row>
    <row r="42" spans="1:13" x14ac:dyDescent="0.25">
      <c r="A42" s="89" t="s">
        <v>194</v>
      </c>
      <c r="B42" s="148"/>
      <c r="C42" s="82">
        <f>IF(B42="Y",L42,IF(B42="N",0,IF(B42="",0)))</f>
        <v>0</v>
      </c>
      <c r="D42" s="148"/>
      <c r="E42" s="82">
        <f>IF(D42="Y",L42,IF(D42="N",0,IF(D42="",0)))</f>
        <v>0</v>
      </c>
      <c r="F42" s="148"/>
      <c r="G42" s="82">
        <f>IF(F42="Y",L42,IF(F42="N",0,IF(F42="",0)))</f>
        <v>0</v>
      </c>
      <c r="H42" s="148"/>
      <c r="I42" s="82">
        <f>IF(H42="Y",L42,IF(H42="N",0,IF(H42="",0)))</f>
        <v>0</v>
      </c>
      <c r="J42" s="148"/>
      <c r="K42" s="82">
        <f>IF(J42="Y",L42,IF(J42="N",0,IF(J42="",0)))</f>
        <v>0</v>
      </c>
      <c r="L42" s="73">
        <v>5</v>
      </c>
    </row>
    <row r="43" spans="1:13" x14ac:dyDescent="0.25">
      <c r="A43" s="89" t="s">
        <v>139</v>
      </c>
      <c r="B43" s="148"/>
      <c r="C43" s="82">
        <f>IF(B43="Y",L43,IF(B43="N",0,IF(B43="",0)))</f>
        <v>0</v>
      </c>
      <c r="D43" s="148"/>
      <c r="E43" s="82">
        <f>IF(D43="Y",L43,IF(D43="N",0,IF(D43="",0)))</f>
        <v>0</v>
      </c>
      <c r="F43" s="148"/>
      <c r="G43" s="82">
        <f>IF(F43="Y",L43,IF(F43="N",0,IF(F43="",0)))</f>
        <v>0</v>
      </c>
      <c r="H43" s="148"/>
      <c r="I43" s="82">
        <f>IF(H43="Y",L43,IF(H43="N",0,IF(H43="",0)))</f>
        <v>0</v>
      </c>
      <c r="J43" s="148"/>
      <c r="K43" s="82">
        <f>IF(J43="Y",L43,IF(J43="N",0,IF(J43="",0)))</f>
        <v>0</v>
      </c>
      <c r="L43" s="73">
        <v>5</v>
      </c>
    </row>
    <row r="44" spans="1:13" ht="30" x14ac:dyDescent="0.25">
      <c r="A44" s="90" t="s">
        <v>140</v>
      </c>
      <c r="B44" s="149"/>
      <c r="C44" s="81">
        <f>IF(B44="Y",L44,IF(B44="N",0,IF(B44="",0)))</f>
        <v>0</v>
      </c>
      <c r="D44" s="149"/>
      <c r="E44" s="81">
        <f>IF(D44="Y",L44,IF(D44="N",0,IF(D44="",0)))</f>
        <v>0</v>
      </c>
      <c r="F44" s="149"/>
      <c r="G44" s="81">
        <f>IF(F44="Y",L44,IF(F44="N",0,IF(F44="",0)))</f>
        <v>0</v>
      </c>
      <c r="H44" s="149"/>
      <c r="I44" s="81">
        <f>IF(H44="Y",L44,IF(H44="N",0,IF(H44="",0)))</f>
        <v>0</v>
      </c>
      <c r="J44" s="149"/>
      <c r="K44" s="81">
        <f>IF(J44="Y",L44,IF(J44="N",0,IF(J44="",0)))</f>
        <v>0</v>
      </c>
      <c r="L44" s="70">
        <v>10</v>
      </c>
    </row>
    <row r="45" spans="1:13" ht="48.95" customHeight="1" x14ac:dyDescent="0.25">
      <c r="A45" s="91" t="s">
        <v>141</v>
      </c>
      <c r="B45" s="151"/>
      <c r="C45" s="83">
        <f>IF(B45="Y",L45,IF(B45="N",0,IF(B45="",0)))</f>
        <v>0</v>
      </c>
      <c r="D45" s="151"/>
      <c r="E45" s="83">
        <f>IF(D45="Y",L45,IF(D45="N",0,IF(D45="",0)))</f>
        <v>0</v>
      </c>
      <c r="F45" s="151"/>
      <c r="G45" s="83">
        <f>IF(F45="Y",L45,IF(F45="N",0,IF(F45="",0)))</f>
        <v>0</v>
      </c>
      <c r="H45" s="151"/>
      <c r="I45" s="83">
        <f>IF(H45="Y",L45,IF(H45="N",0,IF(H45="",0)))</f>
        <v>0</v>
      </c>
      <c r="J45" s="151"/>
      <c r="K45" s="83">
        <f>IF(J45="Y",L45,IF(J45="N",0,IF(J45="",0)))</f>
        <v>0</v>
      </c>
      <c r="L45" s="80">
        <v>10</v>
      </c>
    </row>
    <row r="46" spans="1:13" x14ac:dyDescent="0.25">
      <c r="A46" s="92"/>
      <c r="B46" s="154" t="s">
        <v>32</v>
      </c>
      <c r="C46" s="82">
        <f>SUM(C42:C45)</f>
        <v>0</v>
      </c>
      <c r="D46" s="154" t="s">
        <v>33</v>
      </c>
      <c r="E46" s="82">
        <f>SUM(E42:E45)</f>
        <v>0</v>
      </c>
      <c r="F46" s="154" t="s">
        <v>34</v>
      </c>
      <c r="G46" s="82">
        <f>SUM(G42:G45)</f>
        <v>0</v>
      </c>
      <c r="H46" s="154" t="s">
        <v>35</v>
      </c>
      <c r="I46" s="82">
        <f>SUM(I42:I45)</f>
        <v>0</v>
      </c>
      <c r="J46" s="154" t="s">
        <v>36</v>
      </c>
      <c r="K46" s="82">
        <f>SUM(K42:K45)</f>
        <v>0</v>
      </c>
      <c r="L46" s="73">
        <v>30</v>
      </c>
    </row>
    <row r="47" spans="1:13" ht="48.95" customHeight="1" x14ac:dyDescent="0.25">
      <c r="A47" s="96" t="s">
        <v>144</v>
      </c>
      <c r="B47" s="153" t="str">
        <f>IF(B42="","",(SUM(C46,E46,G46,I46,K46))/(COUNTA(B42,D42,F42,H42,J42)))</f>
        <v/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t="str">
        <f>IF(B42="","NA",IF((B47&lt;20)*(COUNTA(B42,D42,F42,H42,J42)&lt;3),"KWIF",IF((B47&lt;25)*(COUNTA(B42,D42,F42,H42,J42)&gt;2),"KWIF","PASS")))</f>
        <v>NA</v>
      </c>
    </row>
    <row r="48" spans="1:13" ht="45" customHeight="1" x14ac:dyDescent="0.25">
      <c r="A48" s="319" t="s">
        <v>142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</row>
    <row r="49" spans="1:14" s="49" customFormat="1" x14ac:dyDescent="0.25">
      <c r="A49" s="48"/>
      <c r="B49" s="48"/>
      <c r="C49" s="48"/>
      <c r="D49" s="48"/>
      <c r="E49" s="45"/>
      <c r="F49" s="50"/>
      <c r="G49" s="45"/>
      <c r="H49" s="51"/>
      <c r="I49" s="45"/>
      <c r="J49" s="48"/>
      <c r="K49" s="48"/>
    </row>
    <row r="50" spans="1:14" x14ac:dyDescent="0.25">
      <c r="A50" s="37"/>
      <c r="B50" s="336" t="s">
        <v>101</v>
      </c>
      <c r="C50" s="336"/>
      <c r="D50" s="336"/>
      <c r="E50" s="336"/>
      <c r="F50" s="336"/>
      <c r="G50" s="4"/>
      <c r="H50" s="4"/>
      <c r="I50" s="4"/>
    </row>
    <row r="51" spans="1:14" ht="44.25" customHeight="1" x14ac:dyDescent="0.25">
      <c r="A51" s="85" t="s">
        <v>37</v>
      </c>
      <c r="B51" s="86" t="s">
        <v>20</v>
      </c>
      <c r="C51" s="87" t="s">
        <v>27</v>
      </c>
      <c r="D51" s="86" t="s">
        <v>21</v>
      </c>
      <c r="E51" s="87" t="s">
        <v>28</v>
      </c>
      <c r="F51" s="86" t="s">
        <v>22</v>
      </c>
      <c r="G51" s="87" t="s">
        <v>29</v>
      </c>
      <c r="H51" s="86" t="s">
        <v>23</v>
      </c>
      <c r="I51" s="87" t="s">
        <v>30</v>
      </c>
      <c r="J51" s="60" t="s">
        <v>24</v>
      </c>
      <c r="K51" s="87" t="s">
        <v>31</v>
      </c>
      <c r="L51" s="88" t="s">
        <v>26</v>
      </c>
    </row>
    <row r="52" spans="1:14" ht="79.5" customHeight="1" x14ac:dyDescent="0.25">
      <c r="A52" s="89" t="s">
        <v>145</v>
      </c>
      <c r="B52" s="148"/>
      <c r="C52" s="82">
        <f>IF(B52="",0,IF(B52&lt;61,40,IF((B52&gt;60)*(B52&lt;91),30,IF((B52&gt;90)*8*(B52&lt;121),20,IF((B52&gt;120)*(B53&lt;&gt;""),10,IF((B52&gt;120)*(B53=""),0))))))</f>
        <v>0</v>
      </c>
      <c r="D52" s="148"/>
      <c r="E52" s="82">
        <f>IF(D52="",0,IF(D52&lt;61,40,IF((D52&gt;60)*(D52&lt;91),30,IF((D52&gt;90)*8*(D52&lt;121),20,IF((D52&gt;120)*(D53&lt;&gt;""),10,IF((D52&gt;120)*(D53=""),0))))))</f>
        <v>0</v>
      </c>
      <c r="F52" s="148"/>
      <c r="G52" s="82">
        <f>IF(F52="",0,IF(F52&lt;61,40,IF((F52&gt;60)*(F52&lt;91),30,IF((F52&gt;90)*8*(F52&lt;121),20,IF((F52&gt;120)*(F53&lt;&gt;""),10,IF((F52&gt;120)*(F53=""),0))))))</f>
        <v>0</v>
      </c>
      <c r="H52" s="148"/>
      <c r="I52" s="82">
        <f>IF(H52="",0,IF(H52&lt;61,40,IF((H52&gt;60)*(H52&lt;91),30,IF((H52&gt;90)*8*(H52&lt;121),20,IF((H52&gt;120)*(H53&lt;&gt;""),10,IF((H52&gt;120)*(H53=""),0))))))</f>
        <v>0</v>
      </c>
      <c r="J52" s="148"/>
      <c r="K52" s="82">
        <f>IF(J52="",0,IF(J52&lt;61,40,IF((J52&gt;60)*(J52&lt;91),30,IF((J52&gt;90)*8*(J52&lt;121),20,IF((J52&gt;120)*(J53&lt;&gt;""),10,IF((J52&gt;120)*(J53=""),0))))))</f>
        <v>0</v>
      </c>
      <c r="L52" s="73">
        <v>40</v>
      </c>
    </row>
    <row r="53" spans="1:14" ht="45" x14ac:dyDescent="0.25">
      <c r="A53" s="90" t="s">
        <v>104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142"/>
    </row>
    <row r="54" spans="1:14" x14ac:dyDescent="0.25">
      <c r="A54" s="98" t="s">
        <v>146</v>
      </c>
      <c r="B54" s="320"/>
      <c r="C54" s="321"/>
      <c r="D54" s="320"/>
      <c r="E54" s="321"/>
      <c r="F54" s="320"/>
      <c r="G54" s="321"/>
      <c r="H54" s="320"/>
      <c r="I54" s="321"/>
      <c r="J54" s="320"/>
      <c r="K54" s="321"/>
      <c r="L54" s="97"/>
    </row>
    <row r="55" spans="1:14" ht="45" x14ac:dyDescent="0.25">
      <c r="A55" s="96" t="s">
        <v>147</v>
      </c>
      <c r="B55" s="72" t="str">
        <f>IF(B52="","",(SUM(C52,E52,G52,I52,K52))/(COUNTA(B52,D52,F52,H52,J52)))</f>
        <v/>
      </c>
      <c r="C55" s="338"/>
      <c r="D55" s="339"/>
      <c r="E55" s="339"/>
      <c r="F55" s="339"/>
      <c r="G55" s="339"/>
      <c r="H55" s="339"/>
      <c r="I55" s="339"/>
      <c r="J55" s="339"/>
      <c r="K55" s="339"/>
      <c r="L55" s="339"/>
      <c r="M55" t="str">
        <f>IF(B52="","NA",IF((B55&lt;30)*(COUNTA(B46,D46,F46,H46,J46)&lt;3),"KWIF",IF((B55&lt;35)*(COUNTA(B46,D46,F46,H46,J46)&gt;2),"KWIF","PASS")))</f>
        <v>NA</v>
      </c>
    </row>
    <row r="56" spans="1:14" ht="47.25" customHeight="1" x14ac:dyDescent="0.25">
      <c r="A56" s="341" t="s">
        <v>148</v>
      </c>
      <c r="B56" s="341"/>
      <c r="C56" s="342"/>
      <c r="D56" s="342"/>
      <c r="E56" s="342"/>
      <c r="F56" s="342"/>
      <c r="G56" s="342"/>
      <c r="H56" s="342"/>
      <c r="I56" s="41"/>
      <c r="J56" s="41"/>
      <c r="K56" s="41"/>
      <c r="L56" s="41"/>
    </row>
    <row r="57" spans="1:14" ht="14.25" customHeight="1" x14ac:dyDescent="0.25">
      <c r="A57" s="67"/>
      <c r="B57" s="67"/>
      <c r="C57" s="99"/>
      <c r="D57" s="99"/>
      <c r="E57" s="99"/>
      <c r="F57" s="99"/>
      <c r="G57" s="99"/>
      <c r="H57" s="99"/>
      <c r="I57" s="41"/>
      <c r="J57" s="41"/>
      <c r="K57" s="41"/>
      <c r="L57" s="41"/>
    </row>
    <row r="58" spans="1:14" ht="30" x14ac:dyDescent="0.25">
      <c r="A58" s="85" t="s">
        <v>3</v>
      </c>
      <c r="B58" s="85" t="s">
        <v>42</v>
      </c>
      <c r="D58" s="7"/>
      <c r="E58" s="7"/>
      <c r="F58" s="330" t="s">
        <v>25</v>
      </c>
      <c r="G58" s="330"/>
      <c r="H58" s="330"/>
      <c r="I58" s="330"/>
      <c r="J58"/>
      <c r="K58"/>
    </row>
    <row r="59" spans="1:14" x14ac:dyDescent="0.25">
      <c r="A59" s="89" t="s">
        <v>155</v>
      </c>
      <c r="B59" s="61"/>
      <c r="C59" s="7"/>
      <c r="F59" s="71">
        <v>40</v>
      </c>
      <c r="G59" s="70">
        <v>30</v>
      </c>
      <c r="H59" s="70">
        <v>20</v>
      </c>
      <c r="I59" s="70">
        <v>0</v>
      </c>
      <c r="J59" s="13"/>
      <c r="K59"/>
    </row>
    <row r="60" spans="1:14" ht="15" customHeight="1" x14ac:dyDescent="0.25">
      <c r="A60" s="90" t="s">
        <v>156</v>
      </c>
      <c r="B60" s="63"/>
      <c r="C60" s="305"/>
      <c r="D60" s="305"/>
      <c r="E60" s="305"/>
      <c r="F60" s="71" t="s">
        <v>43</v>
      </c>
      <c r="G60" s="106" t="s">
        <v>46</v>
      </c>
      <c r="H60" s="70" t="s">
        <v>44</v>
      </c>
      <c r="I60" s="70" t="s">
        <v>45</v>
      </c>
      <c r="J60" s="13"/>
      <c r="K60"/>
    </row>
    <row r="61" spans="1:14" ht="15" customHeight="1" x14ac:dyDescent="0.25">
      <c r="A61" s="102" t="s">
        <v>149</v>
      </c>
      <c r="B61" s="103" t="str">
        <f>IF(B60="","",B59/B60)</f>
        <v/>
      </c>
      <c r="C61" s="305"/>
      <c r="D61" s="305"/>
      <c r="E61" s="305"/>
      <c r="F61" s="107" t="s">
        <v>151</v>
      </c>
      <c r="G61" s="94" t="s">
        <v>152</v>
      </c>
      <c r="H61" s="108" t="s">
        <v>153</v>
      </c>
      <c r="I61" s="109" t="s">
        <v>154</v>
      </c>
      <c r="K61"/>
      <c r="M61" t="str">
        <f>IF(B61="","NA",IF(B62&lt;30,"KWIF","PASS"))</f>
        <v>NA</v>
      </c>
    </row>
    <row r="62" spans="1:14" ht="15" customHeight="1" x14ac:dyDescent="0.25">
      <c r="A62" s="101" t="s">
        <v>150</v>
      </c>
      <c r="B62" s="72">
        <f>M63</f>
        <v>0</v>
      </c>
      <c r="C62" s="8"/>
      <c r="K62"/>
      <c r="M62" s="3"/>
    </row>
    <row r="63" spans="1:14" x14ac:dyDescent="0.25">
      <c r="C63" s="8"/>
      <c r="K63"/>
      <c r="M63" s="3">
        <f>IF(B60="",0,IF(B59=0,F59,IF(B59=1,G59,IF(B59=2,H59,IF(B59&gt;1,I59)))))</f>
        <v>0</v>
      </c>
      <c r="N63" t="s">
        <v>51</v>
      </c>
    </row>
    <row r="64" spans="1:14" ht="30" x14ac:dyDescent="0.25">
      <c r="A64" s="85" t="s">
        <v>7</v>
      </c>
      <c r="B64" s="85" t="s">
        <v>42</v>
      </c>
      <c r="C64" s="48"/>
      <c r="G64" s="343" t="s">
        <v>25</v>
      </c>
      <c r="H64" s="344"/>
      <c r="I64" s="345"/>
    </row>
    <row r="65" spans="1:14" x14ac:dyDescent="0.25">
      <c r="A65" s="89" t="s">
        <v>188</v>
      </c>
      <c r="B65" s="61"/>
      <c r="C65" s="104"/>
      <c r="D65" s="118"/>
      <c r="E65" s="118"/>
      <c r="F65" s="118"/>
      <c r="G65" s="71">
        <v>50</v>
      </c>
      <c r="H65" s="70">
        <v>40</v>
      </c>
      <c r="I65" s="70">
        <v>0</v>
      </c>
      <c r="J65"/>
      <c r="K65"/>
    </row>
    <row r="66" spans="1:14" ht="15" customHeight="1" x14ac:dyDescent="0.25">
      <c r="A66" s="90" t="s">
        <v>156</v>
      </c>
      <c r="B66" s="63"/>
      <c r="C66" s="47"/>
      <c r="D66" s="330"/>
      <c r="E66" s="330"/>
      <c r="F66" s="330"/>
      <c r="G66" s="105">
        <v>0</v>
      </c>
      <c r="H66" s="106" t="s">
        <v>8</v>
      </c>
      <c r="I66" s="70" t="s">
        <v>9</v>
      </c>
      <c r="J66"/>
      <c r="K66"/>
    </row>
    <row r="67" spans="1:14" x14ac:dyDescent="0.25">
      <c r="A67" s="102" t="s">
        <v>189</v>
      </c>
      <c r="B67" s="103" t="str">
        <f>IF(B60="","",B65/B66)</f>
        <v/>
      </c>
      <c r="C67" s="48"/>
      <c r="D67" s="114"/>
      <c r="E67" s="115"/>
      <c r="F67" s="115"/>
      <c r="G67" s="110" t="s">
        <v>151</v>
      </c>
      <c r="H67" s="111" t="s">
        <v>152</v>
      </c>
      <c r="I67" s="112" t="s">
        <v>154</v>
      </c>
      <c r="M67" t="str">
        <f>IF(B66="","NA",IF(B67&gt;0.1,"CWIF","PASS"))</f>
        <v>NA</v>
      </c>
    </row>
    <row r="68" spans="1:14" x14ac:dyDescent="0.25">
      <c r="A68" s="101" t="s">
        <v>157</v>
      </c>
      <c r="B68" s="72">
        <f>IF(B66="",0,IF(B67=0,G65,IF((B67&gt;0)*(B67&lt;=0.1),H65,IF(B67&gt;0.1,I65))))</f>
        <v>0</v>
      </c>
      <c r="C68" s="45"/>
      <c r="D68" s="114"/>
      <c r="E68" s="115"/>
      <c r="F68" s="115"/>
      <c r="G68" s="119"/>
      <c r="H68" s="120"/>
      <c r="I68" s="121"/>
    </row>
    <row r="69" spans="1:14" x14ac:dyDescent="0.25">
      <c r="C69" s="47"/>
      <c r="D69" s="116"/>
      <c r="E69" s="117"/>
      <c r="F69" s="115"/>
      <c r="G69" s="4"/>
      <c r="H69" s="4"/>
      <c r="I69" s="4"/>
    </row>
    <row r="70" spans="1:14" ht="30" x14ac:dyDescent="0.25">
      <c r="A70" s="85" t="s">
        <v>10</v>
      </c>
      <c r="B70" s="85" t="s">
        <v>42</v>
      </c>
      <c r="C70" s="8"/>
      <c r="D70" s="337"/>
      <c r="E70" s="337"/>
      <c r="F70" s="337"/>
      <c r="G70" s="330" t="s">
        <v>25</v>
      </c>
      <c r="H70" s="330"/>
      <c r="I70" s="330"/>
      <c r="J70" s="11"/>
    </row>
    <row r="71" spans="1:14" x14ac:dyDescent="0.25">
      <c r="A71" s="89" t="s">
        <v>160</v>
      </c>
      <c r="B71" s="62"/>
      <c r="C71" s="7"/>
      <c r="D71" s="7"/>
      <c r="E71" s="7"/>
      <c r="F71" s="7"/>
      <c r="G71" s="71">
        <v>20</v>
      </c>
      <c r="H71" s="71">
        <v>15</v>
      </c>
      <c r="I71" s="70">
        <v>0</v>
      </c>
      <c r="J71" s="30"/>
      <c r="K71"/>
    </row>
    <row r="72" spans="1:14" x14ac:dyDescent="0.25">
      <c r="A72" s="90" t="s">
        <v>167</v>
      </c>
      <c r="B72" s="64"/>
      <c r="C72"/>
      <c r="D72" s="305"/>
      <c r="E72" s="305"/>
      <c r="F72" s="306"/>
      <c r="G72" s="71" t="s">
        <v>43</v>
      </c>
      <c r="H72" s="106" t="s">
        <v>199</v>
      </c>
      <c r="I72" s="70" t="s">
        <v>45</v>
      </c>
      <c r="K72"/>
      <c r="M72" t="str">
        <f>IF(B77="","NA",IF((COUNTIF(M74:M82,"KWIF")),"KWIF","PASS"))</f>
        <v>NA</v>
      </c>
    </row>
    <row r="73" spans="1:14" x14ac:dyDescent="0.25">
      <c r="A73" s="90" t="s">
        <v>168</v>
      </c>
      <c r="B73" s="64"/>
      <c r="D73" s="305"/>
      <c r="E73" s="305"/>
      <c r="F73" s="306"/>
      <c r="G73" s="110" t="s">
        <v>151</v>
      </c>
      <c r="H73" s="111" t="s">
        <v>152</v>
      </c>
      <c r="I73" s="112" t="s">
        <v>154</v>
      </c>
      <c r="K73"/>
    </row>
    <row r="74" spans="1:14" x14ac:dyDescent="0.25">
      <c r="A74" s="90" t="s">
        <v>161</v>
      </c>
      <c r="B74" s="64"/>
      <c r="C74" s="47"/>
      <c r="F74" s="122"/>
      <c r="K74"/>
      <c r="M74" t="str">
        <f>IF(M75&lt;15,"KWIF","PASS")</f>
        <v>PASS</v>
      </c>
    </row>
    <row r="75" spans="1:14" x14ac:dyDescent="0.25">
      <c r="A75" s="102" t="s">
        <v>162</v>
      </c>
      <c r="B75" s="84"/>
      <c r="C75" s="47"/>
      <c r="F75" s="122"/>
      <c r="G75" s="119"/>
      <c r="H75" s="120"/>
      <c r="I75" s="121"/>
      <c r="K75"/>
      <c r="M75" s="3" t="str">
        <f>IF(B77="","",IF(B76=0,G71,IF(B76=1,H71,IF(B76&gt;1,I71))))</f>
        <v/>
      </c>
      <c r="N75" t="s">
        <v>51</v>
      </c>
    </row>
    <row r="76" spans="1:14" x14ac:dyDescent="0.25">
      <c r="A76" s="89" t="s">
        <v>163</v>
      </c>
      <c r="B76" s="127">
        <f>SUM(B71:B75)</f>
        <v>0</v>
      </c>
      <c r="C76" s="47"/>
      <c r="F76" s="122"/>
      <c r="G76" s="119"/>
      <c r="H76" s="120"/>
      <c r="I76" s="121"/>
      <c r="K76"/>
    </row>
    <row r="77" spans="1:14" x14ac:dyDescent="0.25">
      <c r="A77" s="90" t="s">
        <v>156</v>
      </c>
      <c r="B77" s="64"/>
      <c r="F77" s="122"/>
      <c r="G77" s="119"/>
      <c r="H77" s="120"/>
      <c r="I77" s="121"/>
      <c r="K77"/>
    </row>
    <row r="78" spans="1:14" ht="30" x14ac:dyDescent="0.25">
      <c r="A78" s="91" t="s">
        <v>158</v>
      </c>
      <c r="B78" s="128" t="str">
        <f>IF(B60="","",B76/B77)</f>
        <v/>
      </c>
    </row>
    <row r="79" spans="1:14" x14ac:dyDescent="0.25">
      <c r="A79" s="126" t="s">
        <v>169</v>
      </c>
      <c r="B79" s="72" t="str">
        <f>M75</f>
        <v/>
      </c>
      <c r="J79" s="30"/>
      <c r="M79" s="49"/>
      <c r="N79" s="49"/>
    </row>
    <row r="80" spans="1:14" x14ac:dyDescent="0.25">
      <c r="B80" s="4"/>
      <c r="J80" s="4"/>
      <c r="M80" s="45"/>
      <c r="N80" s="49"/>
    </row>
    <row r="81" spans="1:14" ht="15" customHeight="1" x14ac:dyDescent="0.25">
      <c r="A81" s="90" t="s">
        <v>170</v>
      </c>
      <c r="B81" s="141"/>
      <c r="F81" s="4"/>
      <c r="G81" s="335" t="s">
        <v>25</v>
      </c>
      <c r="H81" s="335"/>
      <c r="I81" s="335"/>
      <c r="J81" s="4"/>
      <c r="M81" s="45"/>
      <c r="N81" s="49"/>
    </row>
    <row r="82" spans="1:14" ht="15.75" customHeight="1" x14ac:dyDescent="0.25">
      <c r="A82" s="155" t="s">
        <v>156</v>
      </c>
      <c r="B82" s="163">
        <f>B77</f>
        <v>0</v>
      </c>
      <c r="C82" s="45"/>
      <c r="F82" s="4"/>
      <c r="G82" s="187">
        <v>20</v>
      </c>
      <c r="H82" s="187">
        <v>15</v>
      </c>
      <c r="I82" s="186">
        <v>0</v>
      </c>
      <c r="J82" s="4"/>
      <c r="M82" s="45" t="str">
        <f>IF(M83&lt;15,"KWIF","PASS")</f>
        <v>PASS</v>
      </c>
      <c r="N82" s="49"/>
    </row>
    <row r="83" spans="1:14" x14ac:dyDescent="0.25">
      <c r="A83" s="130" t="s">
        <v>281</v>
      </c>
      <c r="B83" s="128" t="str">
        <f>IF(B60="","",B81/B82)</f>
        <v/>
      </c>
      <c r="C83" s="45"/>
      <c r="D83" s="305"/>
      <c r="E83" s="305"/>
      <c r="F83" s="306"/>
      <c r="G83" s="187" t="s">
        <v>190</v>
      </c>
      <c r="H83" s="210" t="s">
        <v>191</v>
      </c>
      <c r="I83" s="186" t="s">
        <v>102</v>
      </c>
      <c r="J83" s="4"/>
      <c r="M83" s="3" t="str">
        <f>IF(B77="","",IF(B81&lt;2,G82,IF((B81&gt;1)*(B81&lt;4),H82,IF(B81&gt;3,I82))))</f>
        <v/>
      </c>
      <c r="N83" t="s">
        <v>51</v>
      </c>
    </row>
    <row r="84" spans="1:14" ht="15" customHeight="1" x14ac:dyDescent="0.25">
      <c r="A84" s="126" t="s">
        <v>169</v>
      </c>
      <c r="B84" s="72" t="str">
        <f>M83</f>
        <v/>
      </c>
      <c r="C84" s="307"/>
      <c r="D84" s="308"/>
      <c r="E84" s="308"/>
      <c r="F84" s="309"/>
      <c r="G84" s="110" t="s">
        <v>151</v>
      </c>
      <c r="H84" s="111" t="s">
        <v>152</v>
      </c>
      <c r="I84" s="112" t="s">
        <v>154</v>
      </c>
      <c r="J84" s="4"/>
    </row>
    <row r="85" spans="1:14" x14ac:dyDescent="0.25">
      <c r="B85" s="4"/>
      <c r="C85" s="48"/>
      <c r="J85"/>
      <c r="K85"/>
    </row>
    <row r="86" spans="1:14" ht="30" x14ac:dyDescent="0.25">
      <c r="A86" s="98" t="s">
        <v>166</v>
      </c>
      <c r="B86" s="176">
        <f>SUM(B84,B79)</f>
        <v>0</v>
      </c>
      <c r="C86" s="133"/>
      <c r="D86" s="134"/>
      <c r="E86" s="135"/>
      <c r="F86" s="132"/>
      <c r="G86" s="11"/>
      <c r="H86" s="42"/>
      <c r="I86" s="42"/>
      <c r="J86"/>
      <c r="K86"/>
    </row>
    <row r="87" spans="1:14" ht="15" customHeight="1" x14ac:dyDescent="0.25">
      <c r="C87" s="134"/>
      <c r="D87" s="133"/>
      <c r="E87" s="133"/>
      <c r="F87" s="133"/>
      <c r="H87" s="32"/>
      <c r="I87" s="32"/>
      <c r="J87" s="38"/>
      <c r="K87" s="38"/>
    </row>
    <row r="88" spans="1:14" ht="54" x14ac:dyDescent="0.25">
      <c r="A88" s="314" t="s">
        <v>14</v>
      </c>
      <c r="B88" s="315"/>
      <c r="C88" s="316"/>
      <c r="D88" s="85" t="s">
        <v>38</v>
      </c>
      <c r="E88" s="137"/>
      <c r="F88" s="137"/>
      <c r="G88" s="310" t="s">
        <v>25</v>
      </c>
      <c r="H88" s="310"/>
      <c r="I88" s="310"/>
      <c r="J88" s="9"/>
    </row>
    <row r="89" spans="1:14" ht="43.5" customHeight="1" x14ac:dyDescent="0.25">
      <c r="A89" s="311" t="s">
        <v>171</v>
      </c>
      <c r="B89" s="311"/>
      <c r="C89" s="311"/>
      <c r="D89" s="156"/>
      <c r="E89" s="131"/>
      <c r="F89" s="131"/>
      <c r="G89" s="70">
        <v>50</v>
      </c>
      <c r="H89" s="70">
        <v>0</v>
      </c>
      <c r="I89" s="70" t="s">
        <v>15</v>
      </c>
      <c r="M89" t="str">
        <f>IF(D89="","NA",IF(D89="N","CWIF","PASS"))</f>
        <v>NA</v>
      </c>
    </row>
    <row r="90" spans="1:14" x14ac:dyDescent="0.25">
      <c r="A90" s="313" t="s">
        <v>174</v>
      </c>
      <c r="B90" s="313"/>
      <c r="C90" s="313"/>
      <c r="D90" s="72">
        <f>IF(D89="Y",G89,IF(D89="N",0,IF(D89="NA","",IF(D89="",0))))</f>
        <v>0</v>
      </c>
      <c r="E90" s="131"/>
      <c r="F90" s="131"/>
      <c r="G90" s="70" t="s">
        <v>16</v>
      </c>
      <c r="H90" s="106" t="s">
        <v>17</v>
      </c>
      <c r="I90" s="70" t="s">
        <v>39</v>
      </c>
    </row>
    <row r="91" spans="1:14" x14ac:dyDescent="0.25">
      <c r="A91" s="312" t="s">
        <v>172</v>
      </c>
      <c r="B91" s="312"/>
      <c r="C91" s="312"/>
      <c r="D91" s="312"/>
      <c r="E91" s="132"/>
      <c r="F91" s="131"/>
      <c r="G91" s="111" t="s">
        <v>152</v>
      </c>
      <c r="H91" s="112" t="s">
        <v>154</v>
      </c>
      <c r="I91" s="68" t="s">
        <v>173</v>
      </c>
      <c r="J91" s="7"/>
    </row>
    <row r="92" spans="1:14" x14ac:dyDescent="0.25">
      <c r="A92" s="6"/>
      <c r="B92" s="6"/>
      <c r="C92" s="133"/>
      <c r="D92" s="131"/>
      <c r="E92" s="132"/>
      <c r="F92" s="131"/>
      <c r="G92"/>
      <c r="H92" s="4"/>
      <c r="I92" s="4"/>
      <c r="J92" s="7"/>
    </row>
    <row r="93" spans="1:14" ht="41.25" x14ac:dyDescent="0.25">
      <c r="A93" s="301" t="s">
        <v>18</v>
      </c>
      <c r="B93" s="301"/>
      <c r="C93" s="85" t="s">
        <v>19</v>
      </c>
      <c r="D93" s="134"/>
      <c r="E93" s="136"/>
      <c r="F93" s="136"/>
    </row>
    <row r="94" spans="1:14" x14ac:dyDescent="0.25">
      <c r="A94" s="300" t="s">
        <v>67</v>
      </c>
      <c r="B94" s="300"/>
      <c r="C94" s="62"/>
      <c r="D94" s="14" t="s">
        <v>1</v>
      </c>
      <c r="E94" s="4"/>
      <c r="F94" s="4"/>
      <c r="G94" s="4"/>
      <c r="H94" s="4"/>
      <c r="I94" s="4"/>
      <c r="K94" s="4"/>
      <c r="M94" t="str">
        <f>IF(C94="","NA",IF(C94="Y","CWIF","PASS"))</f>
        <v>NA</v>
      </c>
    </row>
    <row r="95" spans="1:14" x14ac:dyDescent="0.25">
      <c r="C95" s="4"/>
      <c r="D95" s="4"/>
      <c r="E95" s="4"/>
      <c r="F95" s="4"/>
      <c r="G95" s="4"/>
      <c r="H95" s="4"/>
      <c r="I95" s="4"/>
    </row>
    <row r="96" spans="1:14" x14ac:dyDescent="0.25">
      <c r="C96" s="4"/>
      <c r="D96" s="4"/>
      <c r="E96" s="4"/>
      <c r="F96" s="4"/>
      <c r="G96" s="4"/>
      <c r="H96" s="4"/>
      <c r="I96" s="4"/>
    </row>
    <row r="97" spans="1:11" ht="15.75" customHeight="1" x14ac:dyDescent="0.25">
      <c r="A97" s="85" t="s">
        <v>175</v>
      </c>
      <c r="B97" s="172" t="s">
        <v>0</v>
      </c>
      <c r="C97" s="172" t="s">
        <v>25</v>
      </c>
      <c r="D97" s="302" t="s">
        <v>273</v>
      </c>
      <c r="E97" s="302"/>
      <c r="F97" s="4"/>
      <c r="G97" s="4"/>
      <c r="H97" s="4"/>
      <c r="I97" s="4"/>
      <c r="J97"/>
      <c r="K97"/>
    </row>
    <row r="98" spans="1:11" x14ac:dyDescent="0.25">
      <c r="A98" s="231" t="s">
        <v>176</v>
      </c>
      <c r="B98" s="72">
        <f>G21</f>
        <v>0</v>
      </c>
      <c r="C98" s="152">
        <v>40</v>
      </c>
      <c r="D98" s="303" t="s">
        <v>115</v>
      </c>
      <c r="E98" s="303"/>
      <c r="F98" s="4"/>
      <c r="G98" s="4"/>
      <c r="H98" s="4"/>
      <c r="I98" s="4"/>
      <c r="J98"/>
      <c r="K98"/>
    </row>
    <row r="99" spans="1:11" x14ac:dyDescent="0.25">
      <c r="A99" s="232" t="s">
        <v>177</v>
      </c>
      <c r="B99" s="69">
        <f>G33</f>
        <v>0</v>
      </c>
      <c r="C99" s="233">
        <v>90</v>
      </c>
      <c r="D99" s="304" t="s">
        <v>115</v>
      </c>
      <c r="E99" s="304"/>
      <c r="F99" s="4"/>
      <c r="G99" s="4"/>
      <c r="H99" s="4"/>
      <c r="I99" s="4"/>
      <c r="J99"/>
      <c r="K99"/>
    </row>
    <row r="100" spans="1:11" x14ac:dyDescent="0.25">
      <c r="A100" s="234" t="s">
        <v>178</v>
      </c>
      <c r="B100" s="153" t="str">
        <f>B47</f>
        <v/>
      </c>
      <c r="C100" s="233">
        <v>30</v>
      </c>
      <c r="D100" s="292" t="str">
        <f>IF(M47="PASS","Pass",IF(M47="KWIF","Fail",""))</f>
        <v/>
      </c>
      <c r="E100" s="293"/>
      <c r="F100" s="4"/>
      <c r="G100" s="4"/>
      <c r="H100" s="4"/>
      <c r="I100" s="4"/>
      <c r="J100"/>
      <c r="K100"/>
    </row>
    <row r="101" spans="1:11" x14ac:dyDescent="0.25">
      <c r="A101" s="234" t="s">
        <v>179</v>
      </c>
      <c r="B101" s="69" t="str">
        <f>B55</f>
        <v/>
      </c>
      <c r="C101" s="233">
        <v>40</v>
      </c>
      <c r="D101" s="292" t="str">
        <f>IF(M55="PASS","Pass",IF(M55="KWIF","Fail",""))</f>
        <v/>
      </c>
      <c r="E101" s="293"/>
      <c r="F101" s="4"/>
      <c r="G101" s="4"/>
      <c r="H101" s="4"/>
      <c r="I101" s="4"/>
      <c r="J101"/>
      <c r="K101"/>
    </row>
    <row r="102" spans="1:11" x14ac:dyDescent="0.25">
      <c r="A102" s="234" t="s">
        <v>180</v>
      </c>
      <c r="B102" s="69">
        <f>B62</f>
        <v>0</v>
      </c>
      <c r="C102" s="233">
        <v>40</v>
      </c>
      <c r="D102" s="292" t="str">
        <f>IF(M61="PASS","Pass",IF(M61="KWIF","Fail",""))</f>
        <v/>
      </c>
      <c r="E102" s="293"/>
      <c r="F102" s="4"/>
      <c r="G102" s="4"/>
      <c r="H102" s="4"/>
      <c r="I102" s="4"/>
      <c r="J102"/>
      <c r="K102"/>
    </row>
    <row r="103" spans="1:11" x14ac:dyDescent="0.25">
      <c r="A103" s="235" t="s">
        <v>181</v>
      </c>
      <c r="B103" s="69">
        <f>B68</f>
        <v>0</v>
      </c>
      <c r="C103" s="233">
        <v>50</v>
      </c>
      <c r="D103" s="292" t="str">
        <f>IF(M67="PASS","Pass",IF(M67="CWIF","Fail",""))</f>
        <v/>
      </c>
      <c r="E103" s="293"/>
      <c r="F103" s="4"/>
      <c r="G103" s="4"/>
      <c r="H103" s="4"/>
      <c r="I103" s="4"/>
      <c r="J103"/>
      <c r="K103"/>
    </row>
    <row r="104" spans="1:11" x14ac:dyDescent="0.25">
      <c r="A104" s="234" t="s">
        <v>182</v>
      </c>
      <c r="B104" s="69">
        <f>B86</f>
        <v>0</v>
      </c>
      <c r="C104" s="233">
        <v>40</v>
      </c>
      <c r="D104" s="292" t="str">
        <f>IF(M72="PASS","Pass",IF(M72="KWIF","Fail",""))</f>
        <v/>
      </c>
      <c r="E104" s="293"/>
      <c r="F104" s="4"/>
      <c r="G104" s="4"/>
      <c r="H104" s="4"/>
      <c r="I104" s="4"/>
      <c r="J104"/>
      <c r="K104"/>
    </row>
    <row r="105" spans="1:11" x14ac:dyDescent="0.25">
      <c r="A105" s="235" t="s">
        <v>183</v>
      </c>
      <c r="B105" s="69">
        <f>D90</f>
        <v>0</v>
      </c>
      <c r="C105" s="233">
        <f>IF(D89="NA",0, 50)</f>
        <v>50</v>
      </c>
      <c r="D105" s="292" t="str">
        <f>IF(D89="Y","Pass",(IF(D89="N","Fail",(IF(D89="NA","n/a","")))))</f>
        <v/>
      </c>
      <c r="E105" s="293"/>
      <c r="F105" s="4"/>
      <c r="G105" s="4"/>
      <c r="H105" s="4"/>
      <c r="I105" s="4"/>
      <c r="J105"/>
      <c r="K105"/>
    </row>
    <row r="106" spans="1:11" x14ac:dyDescent="0.25">
      <c r="A106" s="236" t="s">
        <v>184</v>
      </c>
      <c r="B106" s="78" t="s">
        <v>115</v>
      </c>
      <c r="C106" s="237" t="s">
        <v>115</v>
      </c>
      <c r="D106" s="294" t="str">
        <f>IF(C94="Y","Fail",(IF(C94="N","Pass","")))</f>
        <v/>
      </c>
      <c r="E106" s="295"/>
      <c r="F106" s="4"/>
      <c r="G106" s="4"/>
      <c r="H106" s="4"/>
      <c r="I106" s="4"/>
      <c r="J106"/>
      <c r="K106"/>
    </row>
    <row r="107" spans="1:11" x14ac:dyDescent="0.25">
      <c r="A107" s="101" t="s">
        <v>185</v>
      </c>
      <c r="B107" s="157">
        <f>SUM(B98:B105)</f>
        <v>0</v>
      </c>
      <c r="C107" s="158">
        <f>SUM(C98:C105)</f>
        <v>380</v>
      </c>
      <c r="D107" s="296" t="s">
        <v>115</v>
      </c>
      <c r="E107" s="296"/>
      <c r="F107" s="4"/>
      <c r="G107" s="4"/>
      <c r="H107" s="4"/>
      <c r="I107" s="4"/>
      <c r="J107"/>
      <c r="K107"/>
    </row>
    <row r="108" spans="1:11" x14ac:dyDescent="0.25">
      <c r="B108" s="4"/>
      <c r="C108" s="4"/>
      <c r="D108" s="4"/>
      <c r="E108" s="4"/>
      <c r="F108" s="4"/>
      <c r="G108" s="4"/>
      <c r="H108" s="4"/>
      <c r="I108" s="4"/>
      <c r="J108"/>
      <c r="K108"/>
    </row>
    <row r="109" spans="1:11" x14ac:dyDescent="0.25">
      <c r="A109" s="98" t="s">
        <v>186</v>
      </c>
      <c r="B109" s="159">
        <f>B107/C107</f>
        <v>0</v>
      </c>
      <c r="D109" s="4"/>
      <c r="E109" s="10"/>
      <c r="F109" s="4"/>
      <c r="G109" s="4"/>
      <c r="H109" s="4"/>
      <c r="I109" s="4"/>
      <c r="J109"/>
      <c r="K109"/>
    </row>
    <row r="110" spans="1:11" ht="28.5" customHeight="1" x14ac:dyDescent="0.25">
      <c r="A110" s="100" t="s">
        <v>187</v>
      </c>
      <c r="B110" s="160" t="str">
        <f>IF(COUNTIF(M:M,"KWIF")&gt;1,"FAIL",IF(COUNTIF(M:M,"CWIF"),"FAIL",IF(B109&gt;=0.9,"PASS",IF(B109&lt;0.9,"FAIL"))))</f>
        <v>FAIL</v>
      </c>
      <c r="C110" s="298" t="s">
        <v>276</v>
      </c>
      <c r="D110" s="299"/>
      <c r="E110" s="299"/>
      <c r="F110" s="299"/>
      <c r="G110" s="299"/>
      <c r="H110" s="299"/>
      <c r="I110" s="299"/>
      <c r="J110"/>
      <c r="K110"/>
    </row>
    <row r="111" spans="1:11" x14ac:dyDescent="0.25">
      <c r="C111" s="4"/>
      <c r="D111" s="4"/>
      <c r="E111" s="4"/>
      <c r="F111" s="4"/>
      <c r="G111" s="4"/>
      <c r="H111" s="4"/>
      <c r="I111" s="4"/>
    </row>
    <row r="112" spans="1:11" x14ac:dyDescent="0.25">
      <c r="A112" s="1" t="s">
        <v>105</v>
      </c>
      <c r="H112" s="27"/>
      <c r="I112" s="27"/>
      <c r="J112" s="27"/>
    </row>
    <row r="113" spans="1:10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7"/>
    </row>
    <row r="114" spans="1:10" x14ac:dyDescent="0.25">
      <c r="A114" s="297"/>
      <c r="B114" s="297"/>
      <c r="C114" s="297"/>
      <c r="D114" s="297"/>
      <c r="E114" s="297"/>
      <c r="F114" s="297"/>
      <c r="G114" s="297"/>
      <c r="H114" s="297"/>
      <c r="I114" s="297"/>
      <c r="J114" s="27"/>
    </row>
    <row r="115" spans="1:10" x14ac:dyDescent="0.25">
      <c r="A115" s="297"/>
      <c r="B115" s="297"/>
      <c r="C115" s="297"/>
      <c r="D115" s="297"/>
      <c r="E115" s="297"/>
      <c r="F115" s="297"/>
      <c r="G115" s="297"/>
      <c r="H115" s="297"/>
      <c r="I115" s="297"/>
      <c r="J115" s="27"/>
    </row>
  </sheetData>
  <mergeCells count="83">
    <mergeCell ref="D107:E107"/>
    <mergeCell ref="A113:I115"/>
    <mergeCell ref="D101:E101"/>
    <mergeCell ref="D102:E102"/>
    <mergeCell ref="D103:E103"/>
    <mergeCell ref="D104:E104"/>
    <mergeCell ref="D105:E105"/>
    <mergeCell ref="D106:E106"/>
    <mergeCell ref="C110:I110"/>
    <mergeCell ref="D100:E100"/>
    <mergeCell ref="C84:F84"/>
    <mergeCell ref="A88:C88"/>
    <mergeCell ref="G88:I88"/>
    <mergeCell ref="A89:C89"/>
    <mergeCell ref="A90:C90"/>
    <mergeCell ref="A91:D91"/>
    <mergeCell ref="A93:B93"/>
    <mergeCell ref="A94:B94"/>
    <mergeCell ref="D97:E97"/>
    <mergeCell ref="D98:E98"/>
    <mergeCell ref="D99:E99"/>
    <mergeCell ref="D83:F83"/>
    <mergeCell ref="A56:H56"/>
    <mergeCell ref="F58:I58"/>
    <mergeCell ref="C60:E60"/>
    <mergeCell ref="C61:E61"/>
    <mergeCell ref="G64:I64"/>
    <mergeCell ref="D66:F66"/>
    <mergeCell ref="D70:F70"/>
    <mergeCell ref="G70:I70"/>
    <mergeCell ref="D72:F72"/>
    <mergeCell ref="D73:F73"/>
    <mergeCell ref="G81:I81"/>
    <mergeCell ref="C55:L55"/>
    <mergeCell ref="A48:L48"/>
    <mergeCell ref="B50:F50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40:F40"/>
    <mergeCell ref="A27:E27"/>
    <mergeCell ref="A28:E28"/>
    <mergeCell ref="A29:E29"/>
    <mergeCell ref="A30:E30"/>
    <mergeCell ref="A31:E31"/>
    <mergeCell ref="A32:E32"/>
    <mergeCell ref="A33:F33"/>
    <mergeCell ref="A35:C35"/>
    <mergeCell ref="A36:C36"/>
    <mergeCell ref="A37:C37"/>
    <mergeCell ref="A38:C38"/>
    <mergeCell ref="A26:E26"/>
    <mergeCell ref="A14:E14"/>
    <mergeCell ref="A15:E15"/>
    <mergeCell ref="A16:E16"/>
    <mergeCell ref="A17:E17"/>
    <mergeCell ref="A18:E18"/>
    <mergeCell ref="A19:E19"/>
    <mergeCell ref="A20:E20"/>
    <mergeCell ref="A21:F21"/>
    <mergeCell ref="A23:E23"/>
    <mergeCell ref="A24:E24"/>
    <mergeCell ref="A25:E25"/>
    <mergeCell ref="A13:E13"/>
    <mergeCell ref="A1:I1"/>
    <mergeCell ref="E3:I3"/>
    <mergeCell ref="A4:D4"/>
    <mergeCell ref="A6:D6"/>
    <mergeCell ref="E6:H6"/>
    <mergeCell ref="A7:D7"/>
    <mergeCell ref="E7:H7"/>
    <mergeCell ref="A8:D8"/>
    <mergeCell ref="E8:H9"/>
    <mergeCell ref="A9:D9"/>
    <mergeCell ref="A11:E11"/>
    <mergeCell ref="A12:E12"/>
  </mergeCells>
  <conditionalFormatting sqref="B47">
    <cfRule type="expression" dxfId="93" priority="12">
      <formula>$M$47="KWIF"</formula>
    </cfRule>
  </conditionalFormatting>
  <conditionalFormatting sqref="B55:B57">
    <cfRule type="expression" dxfId="92" priority="13">
      <formula>$M$55="KWIF"</formula>
    </cfRule>
  </conditionalFormatting>
  <conditionalFormatting sqref="B61">
    <cfRule type="expression" dxfId="91" priority="7">
      <formula>$M$61="KWIF"</formula>
    </cfRule>
  </conditionalFormatting>
  <conditionalFormatting sqref="B67">
    <cfRule type="expression" dxfId="90" priority="8">
      <formula>$M$67="CWIF"</formula>
    </cfRule>
  </conditionalFormatting>
  <conditionalFormatting sqref="D89:D90">
    <cfRule type="endsWith" dxfId="89" priority="14" operator="endsWith" text="N">
      <formula>RIGHT(D89,LEN("N"))="N"</formula>
    </cfRule>
  </conditionalFormatting>
  <conditionalFormatting sqref="C94">
    <cfRule type="containsText" dxfId="88" priority="11" operator="containsText" text="Y">
      <formula>NOT(ISERROR(SEARCH("Y",C94)))</formula>
    </cfRule>
  </conditionalFormatting>
  <conditionalFormatting sqref="B110">
    <cfRule type="containsText" dxfId="87" priority="9" operator="containsText" text="PASS">
      <formula>NOT(ISERROR(SEARCH("PASS",B110)))</formula>
    </cfRule>
    <cfRule type="containsText" dxfId="86" priority="10" operator="containsText" text="FAIL">
      <formula>NOT(ISERROR(SEARCH("FAIL",B110)))</formula>
    </cfRule>
  </conditionalFormatting>
  <conditionalFormatting sqref="B78">
    <cfRule type="expression" dxfId="85" priority="15">
      <formula>$M$74="KWIF"</formula>
    </cfRule>
  </conditionalFormatting>
  <conditionalFormatting sqref="B83">
    <cfRule type="expression" dxfId="84" priority="16">
      <formula>$M$82="KWIF"</formula>
    </cfRule>
  </conditionalFormatting>
  <conditionalFormatting sqref="D100:E106">
    <cfRule type="cellIs" dxfId="83" priority="3" operator="equal">
      <formula>"Pass"</formula>
    </cfRule>
  </conditionalFormatting>
  <conditionalFormatting sqref="D100:E102 D104:E104">
    <cfRule type="cellIs" dxfId="82" priority="2" operator="equal">
      <formula>"Fail"</formula>
    </cfRule>
  </conditionalFormatting>
  <conditionalFormatting sqref="D103:E103 D105:E106">
    <cfRule type="cellIs" dxfId="81" priority="1" operator="equal">
      <formula>"Fail"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2CD9-7FCD-4FBA-AA4A-F06653CAA5B7}">
  <dimension ref="A1:N115"/>
  <sheetViews>
    <sheetView showGridLines="0" zoomScaleNormal="10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11" width="15.140625" style="1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3" spans="1:13" s="17" customFormat="1" x14ac:dyDescent="0.25">
      <c r="A3" s="2" t="s">
        <v>192</v>
      </c>
      <c r="B3" s="15"/>
      <c r="C3" s="2"/>
      <c r="D3" s="2"/>
      <c r="E3" s="329" t="s">
        <v>61</v>
      </c>
      <c r="F3" s="329"/>
      <c r="G3" s="329"/>
      <c r="H3" s="329"/>
      <c r="I3" s="329"/>
      <c r="J3" s="16"/>
      <c r="K3" s="2"/>
    </row>
    <row r="4" spans="1:13" s="25" customFormat="1" ht="38.25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8" t="s">
        <v>59</v>
      </c>
      <c r="I4" s="36" t="s">
        <v>60</v>
      </c>
      <c r="J4" s="21"/>
    </row>
    <row r="5" spans="1:13" s="57" customFormat="1" ht="12.75" x14ac:dyDescent="0.2">
      <c r="A5" s="52"/>
      <c r="B5" s="52"/>
      <c r="C5" s="52"/>
      <c r="D5" s="52"/>
      <c r="E5" s="53"/>
      <c r="F5" s="54"/>
      <c r="G5" s="53"/>
      <c r="H5" s="55"/>
      <c r="I5" s="56"/>
      <c r="J5" s="53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129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25" t="s">
        <v>131</v>
      </c>
      <c r="F8" s="325"/>
      <c r="G8" s="325"/>
      <c r="H8" s="325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25"/>
      <c r="F9" s="325"/>
      <c r="G9" s="325"/>
      <c r="H9" s="325"/>
      <c r="I9"/>
      <c r="J9"/>
      <c r="K9"/>
    </row>
    <row r="10" spans="1:13" x14ac:dyDescent="0.25">
      <c r="A10" s="19"/>
      <c r="B10" s="9"/>
      <c r="C10" s="20"/>
      <c r="D10" s="9"/>
      <c r="E10" s="9"/>
      <c r="I10" s="9"/>
      <c r="J10" s="9"/>
      <c r="K10"/>
    </row>
    <row r="11" spans="1:13" ht="41.25" customHeight="1" x14ac:dyDescent="0.25">
      <c r="A11" s="323" t="s">
        <v>134</v>
      </c>
      <c r="B11" s="323"/>
      <c r="C11" s="323"/>
      <c r="D11" s="323"/>
      <c r="E11" s="323"/>
      <c r="F11" s="138" t="s">
        <v>19</v>
      </c>
      <c r="G11" s="76" t="s">
        <v>0</v>
      </c>
      <c r="H11" s="77" t="s">
        <v>25</v>
      </c>
      <c r="I11" s="4"/>
      <c r="J11"/>
      <c r="K11"/>
      <c r="M11" t="s">
        <v>41</v>
      </c>
    </row>
    <row r="12" spans="1:13" x14ac:dyDescent="0.25">
      <c r="A12" s="331" t="s">
        <v>106</v>
      </c>
      <c r="B12" s="331"/>
      <c r="C12" s="331"/>
      <c r="D12" s="331"/>
      <c r="E12" s="331"/>
      <c r="F12" s="148"/>
      <c r="G12" s="72">
        <f>IF(F12="Y",H12,IF(F12="N",0,IF(F12="",0)))</f>
        <v>0</v>
      </c>
      <c r="H12" s="73">
        <v>5</v>
      </c>
      <c r="I12" s="4"/>
    </row>
    <row r="13" spans="1:13" x14ac:dyDescent="0.25">
      <c r="A13" s="318" t="s">
        <v>107</v>
      </c>
      <c r="B13" s="318"/>
      <c r="C13" s="318"/>
      <c r="D13" s="318"/>
      <c r="E13" s="318"/>
      <c r="F13" s="149"/>
      <c r="G13" s="72">
        <f t="shared" ref="G13:G20" si="0">IF(F13="Y",H13,IF(F13="N",0,IF(F13="",0)))</f>
        <v>0</v>
      </c>
      <c r="H13" s="70">
        <v>5</v>
      </c>
      <c r="I13" s="4"/>
    </row>
    <row r="14" spans="1:13" x14ac:dyDescent="0.25">
      <c r="A14" s="318" t="s">
        <v>108</v>
      </c>
      <c r="B14" s="318"/>
      <c r="C14" s="318"/>
      <c r="D14" s="318"/>
      <c r="E14" s="318"/>
      <c r="F14" s="149"/>
      <c r="G14" s="72">
        <f t="shared" si="0"/>
        <v>0</v>
      </c>
      <c r="H14" s="70">
        <v>5</v>
      </c>
      <c r="I14" s="4"/>
    </row>
    <row r="15" spans="1:13" x14ac:dyDescent="0.25">
      <c r="A15" s="318" t="s">
        <v>109</v>
      </c>
      <c r="B15" s="318"/>
      <c r="C15" s="318"/>
      <c r="D15" s="318"/>
      <c r="E15" s="318"/>
      <c r="F15" s="149"/>
      <c r="G15" s="72">
        <f t="shared" si="0"/>
        <v>0</v>
      </c>
      <c r="H15" s="70">
        <v>5</v>
      </c>
      <c r="I15" s="4"/>
    </row>
    <row r="16" spans="1:13" x14ac:dyDescent="0.25">
      <c r="A16" s="318" t="s">
        <v>110</v>
      </c>
      <c r="B16" s="318"/>
      <c r="C16" s="318"/>
      <c r="D16" s="318"/>
      <c r="E16" s="318"/>
      <c r="F16" s="149"/>
      <c r="G16" s="72">
        <f t="shared" si="0"/>
        <v>0</v>
      </c>
      <c r="H16" s="70">
        <v>5</v>
      </c>
      <c r="I16" s="4"/>
    </row>
    <row r="17" spans="1:12" x14ac:dyDescent="0.25">
      <c r="A17" s="334" t="s">
        <v>111</v>
      </c>
      <c r="B17" s="334"/>
      <c r="C17" s="334"/>
      <c r="D17" s="334"/>
      <c r="E17" s="334"/>
      <c r="F17" s="149"/>
      <c r="G17" s="72">
        <f t="shared" si="0"/>
        <v>0</v>
      </c>
      <c r="H17" s="70">
        <v>5</v>
      </c>
      <c r="I17" s="4"/>
      <c r="L17" s="4"/>
    </row>
    <row r="18" spans="1:12" x14ac:dyDescent="0.25">
      <c r="A18" s="318" t="s">
        <v>112</v>
      </c>
      <c r="B18" s="318"/>
      <c r="C18" s="318"/>
      <c r="D18" s="318"/>
      <c r="E18" s="318"/>
      <c r="F18" s="149"/>
      <c r="G18" s="72">
        <f t="shared" si="0"/>
        <v>0</v>
      </c>
      <c r="H18" s="70">
        <v>5</v>
      </c>
      <c r="I18" s="4"/>
    </row>
    <row r="19" spans="1:12" s="13" customFormat="1" x14ac:dyDescent="0.25">
      <c r="A19" s="333" t="s">
        <v>40</v>
      </c>
      <c r="B19" s="333"/>
      <c r="C19" s="333"/>
      <c r="D19" s="333"/>
      <c r="E19" s="333"/>
      <c r="F19" s="150"/>
      <c r="G19" s="152"/>
      <c r="H19" s="70" t="s">
        <v>115</v>
      </c>
      <c r="I19" s="11"/>
      <c r="J19" s="12"/>
      <c r="K19" s="12"/>
    </row>
    <row r="20" spans="1:12" x14ac:dyDescent="0.25">
      <c r="A20" s="332" t="s">
        <v>113</v>
      </c>
      <c r="B20" s="332"/>
      <c r="C20" s="332"/>
      <c r="D20" s="332"/>
      <c r="E20" s="332"/>
      <c r="F20" s="151"/>
      <c r="G20" s="78">
        <f t="shared" si="0"/>
        <v>0</v>
      </c>
      <c r="H20" s="79">
        <v>5</v>
      </c>
      <c r="I20" s="4"/>
    </row>
    <row r="21" spans="1:12" ht="15" customHeight="1" x14ac:dyDescent="0.25">
      <c r="A21" s="326" t="s">
        <v>114</v>
      </c>
      <c r="B21" s="326"/>
      <c r="C21" s="326"/>
      <c r="D21" s="326"/>
      <c r="E21" s="326"/>
      <c r="F21" s="326"/>
      <c r="G21" s="72">
        <f>SUM(G20,G12:G18)</f>
        <v>0</v>
      </c>
      <c r="H21" s="74">
        <v>40</v>
      </c>
      <c r="I21" s="4"/>
    </row>
    <row r="22" spans="1:12" s="49" customFormat="1" ht="15" customHeight="1" x14ac:dyDescent="0.25">
      <c r="A22" s="43"/>
      <c r="B22" s="44"/>
      <c r="C22" s="45"/>
      <c r="D22" s="46"/>
      <c r="E22" s="47"/>
      <c r="F22" s="45"/>
      <c r="G22" s="45"/>
      <c r="H22" s="45"/>
      <c r="I22" s="45"/>
      <c r="J22" s="48"/>
      <c r="K22" s="48"/>
    </row>
    <row r="23" spans="1:12" ht="41.25" customHeight="1" x14ac:dyDescent="0.25">
      <c r="A23" s="301" t="s">
        <v>2</v>
      </c>
      <c r="B23" s="301"/>
      <c r="C23" s="301"/>
      <c r="D23" s="301"/>
      <c r="E23" s="301"/>
      <c r="F23" s="138" t="s">
        <v>19</v>
      </c>
      <c r="G23" s="76" t="s">
        <v>0</v>
      </c>
      <c r="H23" s="77" t="s">
        <v>25</v>
      </c>
      <c r="I23" s="4"/>
    </row>
    <row r="24" spans="1:12" x14ac:dyDescent="0.25">
      <c r="A24" s="300" t="s">
        <v>117</v>
      </c>
      <c r="B24" s="300"/>
      <c r="C24" s="300"/>
      <c r="D24" s="300"/>
      <c r="E24" s="300"/>
      <c r="F24" s="148"/>
      <c r="G24" s="72">
        <f t="shared" ref="G24:G32" si="1">IF(F24="Y",H24,IF(F24="N",0,IF(F24="",0)))</f>
        <v>0</v>
      </c>
      <c r="H24" s="73">
        <v>10</v>
      </c>
      <c r="I24" s="4"/>
    </row>
    <row r="25" spans="1:12" x14ac:dyDescent="0.25">
      <c r="A25" s="317" t="s">
        <v>118</v>
      </c>
      <c r="B25" s="317"/>
      <c r="C25" s="317"/>
      <c r="D25" s="317"/>
      <c r="E25" s="317"/>
      <c r="F25" s="149"/>
      <c r="G25" s="69">
        <f t="shared" si="1"/>
        <v>0</v>
      </c>
      <c r="H25" s="70">
        <v>10</v>
      </c>
      <c r="I25" s="4"/>
    </row>
    <row r="26" spans="1:12" x14ac:dyDescent="0.25">
      <c r="A26" s="317" t="s">
        <v>119</v>
      </c>
      <c r="B26" s="317"/>
      <c r="C26" s="317"/>
      <c r="D26" s="317"/>
      <c r="E26" s="317"/>
      <c r="F26" s="149"/>
      <c r="G26" s="69">
        <f t="shared" si="1"/>
        <v>0</v>
      </c>
      <c r="H26" s="70">
        <v>10</v>
      </c>
      <c r="I26" s="4"/>
    </row>
    <row r="27" spans="1:12" ht="29.25" customHeight="1" x14ac:dyDescent="0.25">
      <c r="A27" s="317" t="s">
        <v>120</v>
      </c>
      <c r="B27" s="317"/>
      <c r="C27" s="317"/>
      <c r="D27" s="317"/>
      <c r="E27" s="317"/>
      <c r="F27" s="149"/>
      <c r="G27" s="69">
        <f t="shared" si="1"/>
        <v>0</v>
      </c>
      <c r="H27" s="70">
        <v>10</v>
      </c>
      <c r="I27" s="4"/>
    </row>
    <row r="28" spans="1:12" x14ac:dyDescent="0.25">
      <c r="A28" s="317" t="s">
        <v>121</v>
      </c>
      <c r="B28" s="317"/>
      <c r="C28" s="317"/>
      <c r="D28" s="317"/>
      <c r="E28" s="317"/>
      <c r="F28" s="149"/>
      <c r="G28" s="69">
        <f t="shared" si="1"/>
        <v>0</v>
      </c>
      <c r="H28" s="70">
        <v>10</v>
      </c>
      <c r="I28" s="4"/>
    </row>
    <row r="29" spans="1:12" x14ac:dyDescent="0.25">
      <c r="A29" s="317" t="s">
        <v>122</v>
      </c>
      <c r="B29" s="317"/>
      <c r="C29" s="317"/>
      <c r="D29" s="317"/>
      <c r="E29" s="317"/>
      <c r="F29" s="149"/>
      <c r="G29" s="69">
        <f t="shared" si="1"/>
        <v>0</v>
      </c>
      <c r="H29" s="70">
        <v>10</v>
      </c>
      <c r="I29" s="4"/>
    </row>
    <row r="30" spans="1:12" x14ac:dyDescent="0.25">
      <c r="A30" s="317" t="s">
        <v>123</v>
      </c>
      <c r="B30" s="317"/>
      <c r="C30" s="317"/>
      <c r="D30" s="317"/>
      <c r="E30" s="317"/>
      <c r="F30" s="149"/>
      <c r="G30" s="69">
        <f t="shared" si="1"/>
        <v>0</v>
      </c>
      <c r="H30" s="70">
        <v>10</v>
      </c>
      <c r="I30" s="4"/>
    </row>
    <row r="31" spans="1:12" x14ac:dyDescent="0.25">
      <c r="A31" s="317" t="s">
        <v>124</v>
      </c>
      <c r="B31" s="317"/>
      <c r="C31" s="317"/>
      <c r="D31" s="317"/>
      <c r="E31" s="317"/>
      <c r="F31" s="149"/>
      <c r="G31" s="69">
        <f t="shared" si="1"/>
        <v>0</v>
      </c>
      <c r="H31" s="70">
        <v>10</v>
      </c>
      <c r="I31" s="4"/>
    </row>
    <row r="32" spans="1:12" x14ac:dyDescent="0.25">
      <c r="A32" s="327" t="s">
        <v>125</v>
      </c>
      <c r="B32" s="327"/>
      <c r="C32" s="327"/>
      <c r="D32" s="327"/>
      <c r="E32" s="327"/>
      <c r="F32" s="151"/>
      <c r="G32" s="78">
        <f t="shared" si="1"/>
        <v>0</v>
      </c>
      <c r="H32" s="80">
        <v>10</v>
      </c>
      <c r="I32" s="4"/>
    </row>
    <row r="33" spans="1:13" x14ac:dyDescent="0.25">
      <c r="A33" s="326" t="s">
        <v>116</v>
      </c>
      <c r="B33" s="326"/>
      <c r="C33" s="326"/>
      <c r="D33" s="326"/>
      <c r="E33" s="326"/>
      <c r="F33" s="326"/>
      <c r="G33" s="72">
        <f>SUM(G24:G32)</f>
        <v>0</v>
      </c>
      <c r="H33" s="73">
        <v>90</v>
      </c>
      <c r="I33" s="4"/>
    </row>
    <row r="34" spans="1:13" s="49" customFormat="1" x14ac:dyDescent="0.25">
      <c r="A34" s="48"/>
      <c r="B34" s="48"/>
      <c r="C34" s="48"/>
      <c r="D34" s="48"/>
      <c r="E34" s="45"/>
      <c r="F34" s="50"/>
      <c r="G34" s="45"/>
      <c r="H34" s="51"/>
      <c r="I34" s="45"/>
      <c r="J34" s="48"/>
      <c r="K34" s="48"/>
    </row>
    <row r="35" spans="1:13" x14ac:dyDescent="0.25">
      <c r="A35" s="301" t="s">
        <v>135</v>
      </c>
      <c r="B35" s="301"/>
      <c r="C35" s="301"/>
      <c r="D35" s="60" t="s">
        <v>20</v>
      </c>
      <c r="E35" s="60" t="s">
        <v>21</v>
      </c>
      <c r="F35" s="60" t="s">
        <v>22</v>
      </c>
      <c r="G35" s="60" t="s">
        <v>23</v>
      </c>
      <c r="H35" s="60" t="s">
        <v>24</v>
      </c>
      <c r="I35"/>
      <c r="J35"/>
      <c r="K35"/>
    </row>
    <row r="36" spans="1:13" ht="16.5" customHeight="1" x14ac:dyDescent="0.25">
      <c r="A36" s="300" t="s">
        <v>136</v>
      </c>
      <c r="B36" s="300"/>
      <c r="C36" s="300"/>
      <c r="D36" s="148"/>
      <c r="E36" s="148"/>
      <c r="F36" s="148"/>
      <c r="G36" s="148"/>
      <c r="H36" s="148"/>
      <c r="I36"/>
      <c r="J36"/>
      <c r="K36"/>
    </row>
    <row r="37" spans="1:13" ht="16.5" customHeight="1" x14ac:dyDescent="0.25">
      <c r="A37" s="317" t="s">
        <v>193</v>
      </c>
      <c r="B37" s="317"/>
      <c r="C37" s="317"/>
      <c r="D37" s="149"/>
      <c r="E37" s="149"/>
      <c r="F37" s="149"/>
      <c r="G37" s="149"/>
      <c r="H37" s="149"/>
      <c r="I37"/>
      <c r="J37"/>
      <c r="K37"/>
    </row>
    <row r="38" spans="1:13" ht="16.5" customHeight="1" x14ac:dyDescent="0.25">
      <c r="A38" s="318" t="s">
        <v>138</v>
      </c>
      <c r="B38" s="318"/>
      <c r="C38" s="318"/>
      <c r="D38" s="149"/>
      <c r="E38" s="149"/>
      <c r="F38" s="149"/>
      <c r="G38" s="149"/>
      <c r="H38" s="149"/>
      <c r="I38"/>
      <c r="J38"/>
      <c r="K38"/>
    </row>
    <row r="39" spans="1:13" s="49" customFormat="1" x14ac:dyDescent="0.25">
      <c r="A39" s="48"/>
      <c r="B39" s="48"/>
      <c r="C39" s="48"/>
      <c r="D39" s="48"/>
      <c r="E39" s="45"/>
      <c r="F39" s="50"/>
      <c r="G39" s="45"/>
      <c r="H39" s="51"/>
      <c r="I39" s="45"/>
      <c r="J39" s="48"/>
      <c r="K39" s="48"/>
    </row>
    <row r="40" spans="1:13" x14ac:dyDescent="0.25">
      <c r="B40" s="336" t="s">
        <v>19</v>
      </c>
      <c r="C40" s="336"/>
      <c r="D40" s="336"/>
      <c r="E40" s="336"/>
      <c r="F40" s="336"/>
      <c r="G40" s="4"/>
      <c r="H40" s="4"/>
      <c r="I40" s="4"/>
    </row>
    <row r="41" spans="1:13" ht="44.25" customHeight="1" x14ac:dyDescent="0.25">
      <c r="A41" s="85" t="s">
        <v>143</v>
      </c>
      <c r="B41" s="86" t="s">
        <v>20</v>
      </c>
      <c r="C41" s="87" t="s">
        <v>27</v>
      </c>
      <c r="D41" s="86" t="s">
        <v>21</v>
      </c>
      <c r="E41" s="87" t="s">
        <v>28</v>
      </c>
      <c r="F41" s="86" t="s">
        <v>22</v>
      </c>
      <c r="G41" s="87" t="s">
        <v>29</v>
      </c>
      <c r="H41" s="86" t="s">
        <v>23</v>
      </c>
      <c r="I41" s="87" t="s">
        <v>30</v>
      </c>
      <c r="J41" s="60" t="s">
        <v>24</v>
      </c>
      <c r="K41" s="87" t="s">
        <v>31</v>
      </c>
      <c r="L41" s="88" t="s">
        <v>26</v>
      </c>
    </row>
    <row r="42" spans="1:13" x14ac:dyDescent="0.25">
      <c r="A42" s="89" t="s">
        <v>194</v>
      </c>
      <c r="B42" s="148"/>
      <c r="C42" s="82">
        <f>IF(B42="Y",L42,IF(B42="N",0,IF(B42="",0)))</f>
        <v>0</v>
      </c>
      <c r="D42" s="148"/>
      <c r="E42" s="82">
        <f>IF(D42="Y",L42,IF(D42="N",0,IF(D42="",0)))</f>
        <v>0</v>
      </c>
      <c r="F42" s="148"/>
      <c r="G42" s="82">
        <f>IF(F42="Y",L42,IF(F42="N",0,IF(F42="",0)))</f>
        <v>0</v>
      </c>
      <c r="H42" s="148"/>
      <c r="I42" s="82">
        <f>IF(H42="Y",L42,IF(H42="N",0,IF(H42="",0)))</f>
        <v>0</v>
      </c>
      <c r="J42" s="148"/>
      <c r="K42" s="82">
        <f>IF(J42="Y",L42,IF(J42="N",0,IF(J42="",0)))</f>
        <v>0</v>
      </c>
      <c r="L42" s="73">
        <v>5</v>
      </c>
    </row>
    <row r="43" spans="1:13" x14ac:dyDescent="0.25">
      <c r="A43" s="89" t="s">
        <v>139</v>
      </c>
      <c r="B43" s="148"/>
      <c r="C43" s="82">
        <f>IF(B43="Y",L43,IF(B43="N",0,IF(B43="",0)))</f>
        <v>0</v>
      </c>
      <c r="D43" s="148"/>
      <c r="E43" s="82">
        <f>IF(D43="Y",L43,IF(D43="N",0,IF(D43="",0)))</f>
        <v>0</v>
      </c>
      <c r="F43" s="148"/>
      <c r="G43" s="82">
        <f>IF(F43="Y",L43,IF(F43="N",0,IF(F43="",0)))</f>
        <v>0</v>
      </c>
      <c r="H43" s="148"/>
      <c r="I43" s="82">
        <f>IF(H43="Y",L43,IF(H43="N",0,IF(H43="",0)))</f>
        <v>0</v>
      </c>
      <c r="J43" s="148"/>
      <c r="K43" s="82">
        <f>IF(J43="Y",L43,IF(J43="N",0,IF(J43="",0)))</f>
        <v>0</v>
      </c>
      <c r="L43" s="73">
        <v>5</v>
      </c>
    </row>
    <row r="44" spans="1:13" ht="30" x14ac:dyDescent="0.25">
      <c r="A44" s="90" t="s">
        <v>140</v>
      </c>
      <c r="B44" s="149"/>
      <c r="C44" s="81">
        <f>IF(B44="Y",L44,IF(B44="N",0,IF(B44="",0)))</f>
        <v>0</v>
      </c>
      <c r="D44" s="149"/>
      <c r="E44" s="81">
        <f>IF(D44="Y",L44,IF(D44="N",0,IF(D44="",0)))</f>
        <v>0</v>
      </c>
      <c r="F44" s="149"/>
      <c r="G44" s="81">
        <f>IF(F44="Y",L44,IF(F44="N",0,IF(F44="",0)))</f>
        <v>0</v>
      </c>
      <c r="H44" s="149"/>
      <c r="I44" s="81">
        <f>IF(H44="Y",L44,IF(H44="N",0,IF(H44="",0)))</f>
        <v>0</v>
      </c>
      <c r="J44" s="149"/>
      <c r="K44" s="81">
        <f>IF(J44="Y",L44,IF(J44="N",0,IF(J44="",0)))</f>
        <v>0</v>
      </c>
      <c r="L44" s="70">
        <v>10</v>
      </c>
    </row>
    <row r="45" spans="1:13" ht="48.95" customHeight="1" x14ac:dyDescent="0.25">
      <c r="A45" s="91" t="s">
        <v>141</v>
      </c>
      <c r="B45" s="151"/>
      <c r="C45" s="83">
        <f>IF(B45="Y",L45,IF(B45="N",0,IF(B45="",0)))</f>
        <v>0</v>
      </c>
      <c r="D45" s="151"/>
      <c r="E45" s="83">
        <f>IF(D45="Y",L45,IF(D45="N",0,IF(D45="",0)))</f>
        <v>0</v>
      </c>
      <c r="F45" s="151"/>
      <c r="G45" s="83">
        <f>IF(F45="Y",L45,IF(F45="N",0,IF(F45="",0)))</f>
        <v>0</v>
      </c>
      <c r="H45" s="151"/>
      <c r="I45" s="83">
        <f>IF(H45="Y",L45,IF(H45="N",0,IF(H45="",0)))</f>
        <v>0</v>
      </c>
      <c r="J45" s="151"/>
      <c r="K45" s="83">
        <f>IF(J45="Y",L45,IF(J45="N",0,IF(J45="",0)))</f>
        <v>0</v>
      </c>
      <c r="L45" s="80">
        <v>10</v>
      </c>
    </row>
    <row r="46" spans="1:13" x14ac:dyDescent="0.25">
      <c r="A46" s="92"/>
      <c r="B46" s="154" t="s">
        <v>32</v>
      </c>
      <c r="C46" s="82">
        <f>SUM(C42:C45)</f>
        <v>0</v>
      </c>
      <c r="D46" s="154" t="s">
        <v>33</v>
      </c>
      <c r="E46" s="82">
        <f>SUM(E42:E45)</f>
        <v>0</v>
      </c>
      <c r="F46" s="154" t="s">
        <v>34</v>
      </c>
      <c r="G46" s="82">
        <f>SUM(G42:G45)</f>
        <v>0</v>
      </c>
      <c r="H46" s="154" t="s">
        <v>35</v>
      </c>
      <c r="I46" s="82">
        <f>SUM(I42:I45)</f>
        <v>0</v>
      </c>
      <c r="J46" s="154" t="s">
        <v>36</v>
      </c>
      <c r="K46" s="82">
        <f>SUM(K42:K45)</f>
        <v>0</v>
      </c>
      <c r="L46" s="73">
        <v>30</v>
      </c>
    </row>
    <row r="47" spans="1:13" ht="48.95" customHeight="1" x14ac:dyDescent="0.25">
      <c r="A47" s="96" t="s">
        <v>144</v>
      </c>
      <c r="B47" s="153" t="str">
        <f>IF(B42="","",(SUM(C46,E46,G46,I46,K46))/(COUNTA(B42,D42,F42,H42,J42)))</f>
        <v/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t="str">
        <f>IF(B42="","NA",IF((B47&lt;20)*(COUNTA(B42,D42,F42,H42,J42)&lt;3),"KWIF",IF((B47&lt;25)*(COUNTA(B42,D42,F42,H42,J42)&gt;2),"KWIF","PASS")))</f>
        <v>NA</v>
      </c>
    </row>
    <row r="48" spans="1:13" ht="45" customHeight="1" x14ac:dyDescent="0.25">
      <c r="A48" s="319" t="s">
        <v>142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</row>
    <row r="49" spans="1:14" s="49" customFormat="1" x14ac:dyDescent="0.25">
      <c r="A49" s="48"/>
      <c r="B49" s="48"/>
      <c r="C49" s="48"/>
      <c r="D49" s="48"/>
      <c r="E49" s="45"/>
      <c r="F49" s="50"/>
      <c r="G49" s="45"/>
      <c r="H49" s="51"/>
      <c r="I49" s="45"/>
      <c r="J49" s="48"/>
      <c r="K49" s="48"/>
    </row>
    <row r="50" spans="1:14" x14ac:dyDescent="0.25">
      <c r="A50" s="37"/>
      <c r="B50" s="336" t="s">
        <v>101</v>
      </c>
      <c r="C50" s="336"/>
      <c r="D50" s="336"/>
      <c r="E50" s="336"/>
      <c r="F50" s="336"/>
      <c r="G50" s="4"/>
      <c r="H50" s="4"/>
      <c r="I50" s="4"/>
    </row>
    <row r="51" spans="1:14" ht="44.25" customHeight="1" x14ac:dyDescent="0.25">
      <c r="A51" s="85" t="s">
        <v>37</v>
      </c>
      <c r="B51" s="86" t="s">
        <v>20</v>
      </c>
      <c r="C51" s="87" t="s">
        <v>27</v>
      </c>
      <c r="D51" s="86" t="s">
        <v>21</v>
      </c>
      <c r="E51" s="87" t="s">
        <v>28</v>
      </c>
      <c r="F51" s="86" t="s">
        <v>22</v>
      </c>
      <c r="G51" s="87" t="s">
        <v>29</v>
      </c>
      <c r="H51" s="86" t="s">
        <v>23</v>
      </c>
      <c r="I51" s="87" t="s">
        <v>30</v>
      </c>
      <c r="J51" s="60" t="s">
        <v>24</v>
      </c>
      <c r="K51" s="87" t="s">
        <v>31</v>
      </c>
      <c r="L51" s="88" t="s">
        <v>26</v>
      </c>
    </row>
    <row r="52" spans="1:14" ht="79.5" customHeight="1" x14ac:dyDescent="0.25">
      <c r="A52" s="89" t="s">
        <v>145</v>
      </c>
      <c r="B52" s="148"/>
      <c r="C52" s="82">
        <f>IF(B52="",0,IF(B52&lt;61,40,IF((B52&gt;60)*(B52&lt;91),30,IF((B52&gt;90)*8*(B52&lt;121),20,IF((B52&gt;120)*(B53&lt;&gt;""),10,IF((B52&gt;120)*(B53=""),0))))))</f>
        <v>0</v>
      </c>
      <c r="D52" s="148"/>
      <c r="E52" s="82">
        <f>IF(D52="",0,IF(D52&lt;61,40,IF((D52&gt;60)*(D52&lt;91),30,IF((D52&gt;90)*8*(D52&lt;121),20,IF((D52&gt;120)*(D53&lt;&gt;""),10,IF((D52&gt;120)*(D53=""),0))))))</f>
        <v>0</v>
      </c>
      <c r="F52" s="148"/>
      <c r="G52" s="82">
        <f>IF(F52="",0,IF(F52&lt;61,40,IF((F52&gt;60)*(F52&lt;91),30,IF((F52&gt;90)*8*(F52&lt;121),20,IF((F52&gt;120)*(F53&lt;&gt;""),10,IF((F52&gt;120)*(F53=""),0))))))</f>
        <v>0</v>
      </c>
      <c r="H52" s="148"/>
      <c r="I52" s="82">
        <f>IF(H52="",0,IF(H52&lt;61,40,IF((H52&gt;60)*(H52&lt;91),30,IF((H52&gt;90)*8*(H52&lt;121),20,IF((H52&gt;120)*(H53&lt;&gt;""),10,IF((H52&gt;120)*(H53=""),0))))))</f>
        <v>0</v>
      </c>
      <c r="J52" s="148"/>
      <c r="K52" s="82">
        <f>IF(J52="",0,IF(J52&lt;61,40,IF((J52&gt;60)*(J52&lt;91),30,IF((J52&gt;90)*8*(J52&lt;121),20,IF((J52&gt;120)*(J53&lt;&gt;""),10,IF((J52&gt;120)*(J53=""),0))))))</f>
        <v>0</v>
      </c>
      <c r="L52" s="73">
        <v>40</v>
      </c>
    </row>
    <row r="53" spans="1:14" ht="45" x14ac:dyDescent="0.25">
      <c r="A53" s="90" t="s">
        <v>104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142"/>
    </row>
    <row r="54" spans="1:14" x14ac:dyDescent="0.25">
      <c r="A54" s="98" t="s">
        <v>146</v>
      </c>
      <c r="B54" s="320"/>
      <c r="C54" s="321"/>
      <c r="D54" s="320"/>
      <c r="E54" s="321"/>
      <c r="F54" s="320"/>
      <c r="G54" s="321"/>
      <c r="H54" s="320"/>
      <c r="I54" s="321"/>
      <c r="J54" s="320"/>
      <c r="K54" s="321"/>
      <c r="L54" s="97"/>
    </row>
    <row r="55" spans="1:14" ht="45" x14ac:dyDescent="0.25">
      <c r="A55" s="96" t="s">
        <v>147</v>
      </c>
      <c r="B55" s="72" t="str">
        <f>IF(B52="","",(SUM(C52,E52,G52,I52,K52))/(COUNTA(B52,D52,F52,H52,J52)))</f>
        <v/>
      </c>
      <c r="C55" s="338"/>
      <c r="D55" s="339"/>
      <c r="E55" s="339"/>
      <c r="F55" s="339"/>
      <c r="G55" s="339"/>
      <c r="H55" s="339"/>
      <c r="I55" s="339"/>
      <c r="J55" s="339"/>
      <c r="K55" s="339"/>
      <c r="L55" s="339"/>
      <c r="M55" t="str">
        <f>IF(B42="","NA",IF((B55&lt;30)*(COUNTA(B46,D46,F46,H46,J46)&lt;3),"KWIF",IF((B55&lt;35)*(COUNTA(B46,D46,F46,H46,J46)&gt;2),"KWIF","PASS")))</f>
        <v>NA</v>
      </c>
    </row>
    <row r="56" spans="1:14" ht="47.25" customHeight="1" x14ac:dyDescent="0.25">
      <c r="A56" s="341" t="s">
        <v>148</v>
      </c>
      <c r="B56" s="341"/>
      <c r="C56" s="342"/>
      <c r="D56" s="342"/>
      <c r="E56" s="342"/>
      <c r="F56" s="342"/>
      <c r="G56" s="342"/>
      <c r="H56" s="342"/>
      <c r="I56" s="41"/>
      <c r="J56" s="41"/>
      <c r="K56" s="41"/>
      <c r="L56" s="41"/>
    </row>
    <row r="57" spans="1:14" ht="14.25" customHeight="1" x14ac:dyDescent="0.25">
      <c r="A57" s="67"/>
      <c r="B57" s="67"/>
      <c r="C57" s="99"/>
      <c r="D57" s="99"/>
      <c r="E57" s="99"/>
      <c r="F57" s="99"/>
      <c r="G57" s="99"/>
      <c r="H57" s="99"/>
      <c r="I57" s="41"/>
      <c r="J57" s="41"/>
      <c r="K57" s="41"/>
      <c r="L57" s="41"/>
    </row>
    <row r="58" spans="1:14" ht="30" x14ac:dyDescent="0.25">
      <c r="A58" s="85" t="s">
        <v>3</v>
      </c>
      <c r="B58" s="85" t="s">
        <v>42</v>
      </c>
      <c r="D58" s="7"/>
      <c r="E58" s="7"/>
      <c r="F58" s="330" t="s">
        <v>25</v>
      </c>
      <c r="G58" s="330"/>
      <c r="H58" s="330"/>
      <c r="I58" s="330"/>
      <c r="J58"/>
      <c r="K58"/>
    </row>
    <row r="59" spans="1:14" x14ac:dyDescent="0.25">
      <c r="A59" s="89" t="s">
        <v>155</v>
      </c>
      <c r="B59" s="61"/>
      <c r="C59" s="7"/>
      <c r="F59" s="71">
        <v>40</v>
      </c>
      <c r="G59" s="70">
        <v>30</v>
      </c>
      <c r="H59" s="70">
        <v>20</v>
      </c>
      <c r="I59" s="70">
        <v>0</v>
      </c>
      <c r="J59" s="13"/>
      <c r="K59"/>
    </row>
    <row r="60" spans="1:14" ht="15" customHeight="1" x14ac:dyDescent="0.25">
      <c r="A60" s="90" t="s">
        <v>156</v>
      </c>
      <c r="B60" s="63"/>
      <c r="C60" s="305" t="s">
        <v>47</v>
      </c>
      <c r="D60" s="305"/>
      <c r="E60" s="305"/>
      <c r="F60" s="105">
        <v>0</v>
      </c>
      <c r="G60" s="106" t="s">
        <v>4</v>
      </c>
      <c r="H60" s="70" t="s">
        <v>5</v>
      </c>
      <c r="I60" s="70" t="s">
        <v>6</v>
      </c>
      <c r="J60" s="13"/>
      <c r="K60"/>
    </row>
    <row r="61" spans="1:14" ht="15" customHeight="1" x14ac:dyDescent="0.25">
      <c r="A61" s="102" t="s">
        <v>149</v>
      </c>
      <c r="B61" s="103" t="str">
        <f>IF(B60="","",B59/B60)</f>
        <v/>
      </c>
      <c r="C61" s="305" t="s">
        <v>48</v>
      </c>
      <c r="D61" s="305"/>
      <c r="E61" s="305"/>
      <c r="F61" s="71" t="s">
        <v>43</v>
      </c>
      <c r="G61" s="106" t="s">
        <v>46</v>
      </c>
      <c r="H61" s="70" t="s">
        <v>44</v>
      </c>
      <c r="I61" s="70" t="s">
        <v>45</v>
      </c>
      <c r="K61"/>
      <c r="M61" t="str">
        <f>IF(B61="","NA",IF(B62&lt;30,"KWIF","PASS"))</f>
        <v>NA</v>
      </c>
    </row>
    <row r="62" spans="1:14" ht="15" customHeight="1" x14ac:dyDescent="0.25">
      <c r="A62" s="101" t="s">
        <v>150</v>
      </c>
      <c r="B62" s="72">
        <f>IF(B60&lt;100,M63,M62)</f>
        <v>0</v>
      </c>
      <c r="C62" s="8"/>
      <c r="F62" s="107" t="s">
        <v>151</v>
      </c>
      <c r="G62" s="94" t="s">
        <v>152</v>
      </c>
      <c r="H62" s="108" t="s">
        <v>153</v>
      </c>
      <c r="I62" s="109" t="s">
        <v>154</v>
      </c>
      <c r="K62"/>
      <c r="M62" s="3">
        <f>IF(B61="",0,IF(B61=0,F59,IF((B61&gt;0)*(B61&lt;=0.01),G59,IF((B61&gt;0.01)*(B61&lt;=0.03),H59,IF(B61&gt;0.03,I59)))))</f>
        <v>0</v>
      </c>
      <c r="N62" t="s">
        <v>50</v>
      </c>
    </row>
    <row r="63" spans="1:14" x14ac:dyDescent="0.25">
      <c r="C63" s="8"/>
      <c r="K63"/>
      <c r="M63" s="3">
        <f>IF(B59="",0,IF(B59=0,F59,IF(B59=1,G59,IF(B59=2,H59,IF(B59&gt;1,I59)))))</f>
        <v>0</v>
      </c>
      <c r="N63" t="s">
        <v>51</v>
      </c>
    </row>
    <row r="64" spans="1:14" ht="30" x14ac:dyDescent="0.25">
      <c r="A64" s="85" t="s">
        <v>7</v>
      </c>
      <c r="B64" s="85" t="s">
        <v>42</v>
      </c>
      <c r="C64" s="48"/>
      <c r="G64" s="343" t="s">
        <v>25</v>
      </c>
      <c r="H64" s="344"/>
      <c r="I64" s="345"/>
    </row>
    <row r="65" spans="1:14" x14ac:dyDescent="0.25">
      <c r="A65" s="89" t="s">
        <v>188</v>
      </c>
      <c r="B65" s="61"/>
      <c r="C65" s="104"/>
      <c r="D65" s="118"/>
      <c r="E65" s="118"/>
      <c r="F65" s="118"/>
      <c r="G65" s="71">
        <v>50</v>
      </c>
      <c r="H65" s="70">
        <v>40</v>
      </c>
      <c r="I65" s="70">
        <v>0</v>
      </c>
      <c r="J65"/>
      <c r="K65"/>
    </row>
    <row r="66" spans="1:14" ht="15" customHeight="1" x14ac:dyDescent="0.25">
      <c r="A66" s="90" t="s">
        <v>156</v>
      </c>
      <c r="B66" s="63"/>
      <c r="C66" s="47"/>
      <c r="D66" s="330"/>
      <c r="E66" s="330"/>
      <c r="F66" s="330"/>
      <c r="G66" s="105">
        <v>0</v>
      </c>
      <c r="H66" s="106" t="s">
        <v>8</v>
      </c>
      <c r="I66" s="70" t="s">
        <v>9</v>
      </c>
      <c r="J66"/>
      <c r="K66"/>
    </row>
    <row r="67" spans="1:14" x14ac:dyDescent="0.25">
      <c r="A67" s="102" t="s">
        <v>189</v>
      </c>
      <c r="B67" s="103" t="str">
        <f>IF(B66="","",B65/B66)</f>
        <v/>
      </c>
      <c r="C67" s="48"/>
      <c r="D67" s="114"/>
      <c r="E67" s="115"/>
      <c r="F67" s="115"/>
      <c r="G67" s="110" t="s">
        <v>151</v>
      </c>
      <c r="H67" s="111" t="s">
        <v>152</v>
      </c>
      <c r="I67" s="112" t="s">
        <v>154</v>
      </c>
      <c r="M67" t="str">
        <f>IF(B66="","NA",IF(B67&gt;0.1,"CWIF","PASS"))</f>
        <v>NA</v>
      </c>
    </row>
    <row r="68" spans="1:14" x14ac:dyDescent="0.25">
      <c r="A68" s="101" t="s">
        <v>157</v>
      </c>
      <c r="B68" s="72">
        <f>IF(B66="",0,IF(B67=0,G65,IF((B67&gt;0)*(B67&lt;=0.1),H65,IF(B67&gt;0.1,I65))))</f>
        <v>0</v>
      </c>
      <c r="C68" s="45"/>
      <c r="D68" s="114"/>
      <c r="E68" s="115"/>
      <c r="F68" s="115"/>
      <c r="G68" s="119"/>
      <c r="H68" s="120"/>
      <c r="I68" s="121"/>
    </row>
    <row r="69" spans="1:14" x14ac:dyDescent="0.25">
      <c r="C69" s="47"/>
      <c r="D69" s="116"/>
      <c r="E69" s="117"/>
      <c r="F69" s="115"/>
      <c r="G69" s="4"/>
      <c r="H69" s="4"/>
      <c r="I69" s="4"/>
    </row>
    <row r="70" spans="1:14" ht="30" x14ac:dyDescent="0.25">
      <c r="A70" s="85" t="s">
        <v>10</v>
      </c>
      <c r="B70" s="85" t="s">
        <v>42</v>
      </c>
      <c r="C70" s="8"/>
      <c r="D70" s="337"/>
      <c r="E70" s="337"/>
      <c r="F70" s="337"/>
      <c r="G70" s="330" t="s">
        <v>25</v>
      </c>
      <c r="H70" s="330"/>
      <c r="I70" s="330"/>
      <c r="J70" s="11"/>
    </row>
    <row r="71" spans="1:14" x14ac:dyDescent="0.25">
      <c r="A71" s="89" t="s">
        <v>160</v>
      </c>
      <c r="B71" s="62"/>
      <c r="C71" s="7"/>
      <c r="D71" s="7"/>
      <c r="E71" s="7"/>
      <c r="F71" s="7"/>
      <c r="G71" s="71">
        <v>20</v>
      </c>
      <c r="H71" s="71">
        <v>15</v>
      </c>
      <c r="I71" s="70">
        <v>0</v>
      </c>
      <c r="J71" s="30"/>
      <c r="K71"/>
    </row>
    <row r="72" spans="1:14" x14ac:dyDescent="0.25">
      <c r="A72" s="90" t="s">
        <v>167</v>
      </c>
      <c r="B72" s="64"/>
      <c r="C72"/>
      <c r="D72" s="305" t="s">
        <v>47</v>
      </c>
      <c r="E72" s="305"/>
      <c r="F72" s="306"/>
      <c r="G72" s="106" t="s">
        <v>11</v>
      </c>
      <c r="H72" s="106" t="s">
        <v>5</v>
      </c>
      <c r="I72" s="70" t="s">
        <v>6</v>
      </c>
      <c r="K72"/>
      <c r="M72" t="str">
        <f>IF(B77="","NA",IF((COUNTIF(M74:M79,"KWIF")),"KWIF","PASS"))</f>
        <v>NA</v>
      </c>
    </row>
    <row r="73" spans="1:14" x14ac:dyDescent="0.25">
      <c r="A73" s="90" t="s">
        <v>168</v>
      </c>
      <c r="B73" s="64"/>
      <c r="D73" s="305" t="s">
        <v>48</v>
      </c>
      <c r="E73" s="305"/>
      <c r="F73" s="306"/>
      <c r="G73" s="71" t="s">
        <v>43</v>
      </c>
      <c r="H73" s="106" t="s">
        <v>46</v>
      </c>
      <c r="I73" s="70" t="s">
        <v>49</v>
      </c>
      <c r="K73"/>
    </row>
    <row r="74" spans="1:14" x14ac:dyDescent="0.25">
      <c r="A74" s="90" t="s">
        <v>161</v>
      </c>
      <c r="B74" s="64"/>
      <c r="C74" s="47"/>
      <c r="F74" s="122"/>
      <c r="G74" s="110" t="s">
        <v>151</v>
      </c>
      <c r="H74" s="111" t="s">
        <v>152</v>
      </c>
      <c r="I74" s="112" t="s">
        <v>154</v>
      </c>
      <c r="K74"/>
      <c r="M74" t="str">
        <f>IF(B77="","NA",IF(B79&lt;15,"KWIF","PASS"))</f>
        <v>NA</v>
      </c>
    </row>
    <row r="75" spans="1:14" x14ac:dyDescent="0.25">
      <c r="A75" s="102" t="s">
        <v>162</v>
      </c>
      <c r="B75" s="84"/>
      <c r="C75" s="47"/>
      <c r="F75" s="122"/>
      <c r="G75" s="123"/>
      <c r="H75" s="124"/>
      <c r="I75" s="125"/>
      <c r="K75"/>
      <c r="M75" s="3">
        <f>IF(B78="",0,IF(B78&lt;=0.01,G71,IF((B78&gt;0.01)*(B78&lt;=0.03),H71,IF(B78&gt;0.03,I71))))</f>
        <v>0</v>
      </c>
      <c r="N75" t="s">
        <v>50</v>
      </c>
    </row>
    <row r="76" spans="1:14" x14ac:dyDescent="0.25">
      <c r="A76" s="89" t="s">
        <v>163</v>
      </c>
      <c r="B76" s="127">
        <f>SUM(B71:B75)</f>
        <v>0</v>
      </c>
      <c r="C76" s="47"/>
      <c r="F76" s="122"/>
      <c r="G76" s="119"/>
      <c r="H76" s="120"/>
      <c r="I76" s="121"/>
      <c r="K76"/>
      <c r="M76" s="3"/>
    </row>
    <row r="77" spans="1:14" x14ac:dyDescent="0.25">
      <c r="A77" s="90" t="s">
        <v>156</v>
      </c>
      <c r="B77" s="64"/>
      <c r="F77" s="122"/>
      <c r="G77" s="119"/>
      <c r="H77" s="120"/>
      <c r="I77" s="121"/>
      <c r="K77"/>
      <c r="M77" s="3">
        <f>IF(B77="",0,IF(B76=0,G71,IF(B76=1,H71,IF(B76&gt;1,I71))))</f>
        <v>0</v>
      </c>
      <c r="N77" t="s">
        <v>51</v>
      </c>
    </row>
    <row r="78" spans="1:14" ht="30" x14ac:dyDescent="0.25">
      <c r="A78" s="91" t="s">
        <v>158</v>
      </c>
      <c r="B78" s="128" t="str">
        <f>IF(B77="","",B76/B77)</f>
        <v/>
      </c>
    </row>
    <row r="79" spans="1:14" x14ac:dyDescent="0.25">
      <c r="A79" s="126" t="s">
        <v>169</v>
      </c>
      <c r="B79" s="72" t="str">
        <f>IF(B77="","",IF(B77&lt;100,M77,M75))</f>
        <v/>
      </c>
      <c r="J79" s="30"/>
      <c r="M79" t="str">
        <f>IF(B77="","NA",IF(B84&lt;15,"KWIF","PASS"))</f>
        <v>NA</v>
      </c>
    </row>
    <row r="80" spans="1:14" x14ac:dyDescent="0.25">
      <c r="B80" s="4"/>
      <c r="J80" s="4"/>
      <c r="M80" s="3">
        <f>IF(B83="",0,IF(B83&lt;=0.03,G82,IF((B83&gt;0.03)*(B83&lt;=0.06),H82,IF(B83&gt;0.06,I82))))</f>
        <v>0</v>
      </c>
      <c r="N80" t="s">
        <v>50</v>
      </c>
    </row>
    <row r="81" spans="1:14" s="19" customFormat="1" ht="15" customHeight="1" x14ac:dyDescent="0.25">
      <c r="A81" s="253" t="s">
        <v>170</v>
      </c>
      <c r="B81" s="243"/>
      <c r="C81" s="9"/>
      <c r="D81" s="9"/>
      <c r="E81" s="9"/>
      <c r="F81" s="5"/>
      <c r="G81" s="346" t="s">
        <v>25</v>
      </c>
      <c r="H81" s="346"/>
      <c r="I81" s="346"/>
      <c r="J81" s="5"/>
      <c r="K81" s="9"/>
      <c r="M81" s="178">
        <f>IF(B77="",0,IF(B81&lt;2,G82,IF((B81&gt;1)*(B81&lt;4),H82,IF(B81&gt;3,I82))))</f>
        <v>0</v>
      </c>
      <c r="N81" s="19" t="s">
        <v>51</v>
      </c>
    </row>
    <row r="82" spans="1:14" s="19" customFormat="1" ht="15.75" customHeight="1" x14ac:dyDescent="0.25">
      <c r="A82" s="281" t="s">
        <v>156</v>
      </c>
      <c r="B82" s="160">
        <f>B77</f>
        <v>0</v>
      </c>
      <c r="C82" s="181"/>
      <c r="D82" s="9"/>
      <c r="E82" s="9"/>
      <c r="F82" s="5"/>
      <c r="G82" s="187">
        <v>20</v>
      </c>
      <c r="H82" s="187">
        <v>15</v>
      </c>
      <c r="I82" s="186">
        <v>0</v>
      </c>
      <c r="J82" s="5"/>
      <c r="K82" s="9"/>
    </row>
    <row r="83" spans="1:14" s="19" customFormat="1" ht="26.25" customHeight="1" x14ac:dyDescent="0.25">
      <c r="A83" s="248" t="s">
        <v>159</v>
      </c>
      <c r="B83" s="282" t="str">
        <f>IF(B77="","",B81/B82)</f>
        <v/>
      </c>
      <c r="C83" s="181"/>
      <c r="D83" s="347" t="s">
        <v>47</v>
      </c>
      <c r="E83" s="347"/>
      <c r="F83" s="348"/>
      <c r="G83" s="210" t="s">
        <v>64</v>
      </c>
      <c r="H83" s="210" t="s">
        <v>63</v>
      </c>
      <c r="I83" s="186" t="s">
        <v>62</v>
      </c>
      <c r="J83" s="5"/>
      <c r="K83" s="9"/>
      <c r="M83"/>
      <c r="N83"/>
    </row>
    <row r="84" spans="1:14" s="19" customFormat="1" ht="15" customHeight="1" x14ac:dyDescent="0.25">
      <c r="A84" s="283" t="s">
        <v>169</v>
      </c>
      <c r="B84" s="188">
        <f>IF(B77="",M80,IF(B77&lt;100,M81,M80))</f>
        <v>0</v>
      </c>
      <c r="C84" s="349" t="s">
        <v>48</v>
      </c>
      <c r="D84" s="350"/>
      <c r="E84" s="350"/>
      <c r="F84" s="351"/>
      <c r="G84" s="187" t="s">
        <v>190</v>
      </c>
      <c r="H84" s="210" t="s">
        <v>191</v>
      </c>
      <c r="I84" s="186" t="s">
        <v>102</v>
      </c>
      <c r="J84" s="5"/>
      <c r="K84" s="9"/>
    </row>
    <row r="85" spans="1:14" s="19" customFormat="1" x14ac:dyDescent="0.25">
      <c r="A85" s="9"/>
      <c r="B85" s="5"/>
      <c r="C85" s="284"/>
      <c r="D85" s="9"/>
      <c r="E85" s="9"/>
      <c r="F85" s="9"/>
      <c r="G85" s="110" t="s">
        <v>151</v>
      </c>
      <c r="H85" s="111" t="s">
        <v>152</v>
      </c>
      <c r="I85" s="112" t="s">
        <v>154</v>
      </c>
    </row>
    <row r="86" spans="1:14" ht="30" x14ac:dyDescent="0.25">
      <c r="A86" s="98" t="s">
        <v>166</v>
      </c>
      <c r="B86" s="176">
        <f>SUM(B84,B79)</f>
        <v>0</v>
      </c>
      <c r="C86" s="133"/>
      <c r="D86" s="134"/>
      <c r="E86" s="135"/>
      <c r="F86" s="132"/>
      <c r="G86" s="11"/>
      <c r="H86" s="42"/>
      <c r="I86" s="42"/>
      <c r="J86"/>
      <c r="K86"/>
    </row>
    <row r="87" spans="1:14" ht="15" customHeight="1" x14ac:dyDescent="0.25">
      <c r="C87" s="134"/>
      <c r="D87" s="133"/>
      <c r="E87" s="133"/>
      <c r="F87" s="133"/>
      <c r="H87" s="32"/>
      <c r="I87" s="32"/>
      <c r="J87" s="38"/>
      <c r="K87" s="38"/>
    </row>
    <row r="88" spans="1:14" ht="54" x14ac:dyDescent="0.25">
      <c r="A88" s="314" t="s">
        <v>14</v>
      </c>
      <c r="B88" s="315"/>
      <c r="C88" s="316"/>
      <c r="D88" s="85" t="s">
        <v>38</v>
      </c>
      <c r="E88" s="137"/>
      <c r="F88" s="137"/>
      <c r="G88" s="310" t="s">
        <v>25</v>
      </c>
      <c r="H88" s="310"/>
      <c r="I88" s="310"/>
      <c r="J88" s="9"/>
    </row>
    <row r="89" spans="1:14" s="19" customFormat="1" ht="29.25" customHeight="1" x14ac:dyDescent="0.25">
      <c r="A89" s="352" t="s">
        <v>171</v>
      </c>
      <c r="B89" s="352"/>
      <c r="C89" s="352"/>
      <c r="D89" s="156"/>
      <c r="E89" s="285"/>
      <c r="F89" s="285"/>
      <c r="G89" s="186">
        <v>50</v>
      </c>
      <c r="H89" s="186">
        <v>0</v>
      </c>
      <c r="I89" s="186" t="s">
        <v>15</v>
      </c>
      <c r="J89" s="9"/>
      <c r="K89" s="9"/>
      <c r="M89" s="19" t="str">
        <f>IF(D89="","NA",IF(D89="N","CWIF","PASS"))</f>
        <v>NA</v>
      </c>
    </row>
    <row r="90" spans="1:14" s="19" customFormat="1" x14ac:dyDescent="0.25">
      <c r="A90" s="353" t="s">
        <v>174</v>
      </c>
      <c r="B90" s="353"/>
      <c r="C90" s="353"/>
      <c r="D90" s="188">
        <f>IF(D89="Y",G89,IF(D89="N",0,IF(D89="NA","",IF(D89="",0))))</f>
        <v>0</v>
      </c>
      <c r="E90" s="285"/>
      <c r="F90" s="285"/>
      <c r="G90" s="186" t="s">
        <v>16</v>
      </c>
      <c r="H90" s="210" t="s">
        <v>17</v>
      </c>
      <c r="I90" s="186" t="s">
        <v>39</v>
      </c>
      <c r="J90" s="9"/>
      <c r="K90" s="9"/>
    </row>
    <row r="91" spans="1:14" s="19" customFormat="1" x14ac:dyDescent="0.25">
      <c r="A91" s="354" t="s">
        <v>172</v>
      </c>
      <c r="B91" s="354"/>
      <c r="C91" s="354"/>
      <c r="D91" s="354"/>
      <c r="E91" s="286"/>
      <c r="F91" s="285"/>
      <c r="G91" s="111" t="s">
        <v>152</v>
      </c>
      <c r="H91" s="112" t="s">
        <v>154</v>
      </c>
      <c r="I91" s="287" t="s">
        <v>173</v>
      </c>
      <c r="J91" s="288"/>
      <c r="K91" s="9"/>
    </row>
    <row r="92" spans="1:14" x14ac:dyDescent="0.25">
      <c r="A92" s="6"/>
      <c r="B92" s="6"/>
      <c r="C92" s="133"/>
      <c r="D92" s="131"/>
      <c r="E92" s="132"/>
      <c r="F92" s="131"/>
      <c r="G92"/>
      <c r="H92" s="4"/>
      <c r="I92" s="4"/>
      <c r="J92" s="7"/>
    </row>
    <row r="93" spans="1:14" ht="41.25" x14ac:dyDescent="0.25">
      <c r="A93" s="301" t="s">
        <v>18</v>
      </c>
      <c r="B93" s="301"/>
      <c r="C93" s="85" t="s">
        <v>19</v>
      </c>
      <c r="D93" s="134"/>
      <c r="E93" s="136"/>
      <c r="F93" s="136"/>
    </row>
    <row r="94" spans="1:14" x14ac:dyDescent="0.25">
      <c r="A94" s="300" t="s">
        <v>67</v>
      </c>
      <c r="B94" s="300"/>
      <c r="C94" s="62"/>
      <c r="D94" s="14" t="s">
        <v>1</v>
      </c>
      <c r="E94" s="4"/>
      <c r="F94" s="4"/>
      <c r="G94" s="4"/>
      <c r="H94" s="4"/>
      <c r="I94" s="4"/>
      <c r="K94" s="4"/>
      <c r="M94" t="str">
        <f>IF(C94="","NA",IF(C94="Y","CWIF","PASS"))</f>
        <v>NA</v>
      </c>
    </row>
    <row r="95" spans="1:14" x14ac:dyDescent="0.25">
      <c r="C95" s="4"/>
      <c r="D95" s="4"/>
      <c r="E95" s="4"/>
      <c r="F95" s="4"/>
      <c r="G95" s="4"/>
      <c r="H95" s="4"/>
      <c r="I95" s="4"/>
    </row>
    <row r="96" spans="1:14" x14ac:dyDescent="0.25">
      <c r="C96" s="4"/>
      <c r="D96" s="4"/>
      <c r="E96" s="4"/>
      <c r="F96" s="4"/>
      <c r="G96" s="4"/>
      <c r="H96" s="4"/>
      <c r="I96" s="4"/>
    </row>
    <row r="97" spans="1:11" ht="15.75" customHeight="1" x14ac:dyDescent="0.25">
      <c r="A97" s="85" t="s">
        <v>175</v>
      </c>
      <c r="B97" s="172" t="s">
        <v>0</v>
      </c>
      <c r="C97" s="172" t="s">
        <v>25</v>
      </c>
      <c r="D97" s="302" t="s">
        <v>273</v>
      </c>
      <c r="E97" s="302"/>
      <c r="F97" s="4"/>
      <c r="G97" s="4"/>
      <c r="H97" s="4"/>
      <c r="I97" s="4"/>
      <c r="J97"/>
      <c r="K97"/>
    </row>
    <row r="98" spans="1:11" x14ac:dyDescent="0.25">
      <c r="A98" s="231" t="s">
        <v>176</v>
      </c>
      <c r="B98" s="72">
        <f>G21</f>
        <v>0</v>
      </c>
      <c r="C98" s="152">
        <v>40</v>
      </c>
      <c r="D98" s="303" t="s">
        <v>115</v>
      </c>
      <c r="E98" s="303"/>
      <c r="F98" s="4"/>
      <c r="G98" s="4"/>
      <c r="H98" s="4"/>
      <c r="I98" s="4"/>
      <c r="J98"/>
      <c r="K98"/>
    </row>
    <row r="99" spans="1:11" x14ac:dyDescent="0.25">
      <c r="A99" s="232" t="s">
        <v>177</v>
      </c>
      <c r="B99" s="69">
        <f>G33</f>
        <v>0</v>
      </c>
      <c r="C99" s="233">
        <v>90</v>
      </c>
      <c r="D99" s="304" t="s">
        <v>115</v>
      </c>
      <c r="E99" s="304"/>
      <c r="F99" s="4"/>
      <c r="G99" s="4"/>
      <c r="H99" s="4"/>
      <c r="I99" s="4"/>
      <c r="J99"/>
      <c r="K99"/>
    </row>
    <row r="100" spans="1:11" x14ac:dyDescent="0.25">
      <c r="A100" s="234" t="s">
        <v>178</v>
      </c>
      <c r="B100" s="153" t="str">
        <f>B47</f>
        <v/>
      </c>
      <c r="C100" s="233">
        <v>30</v>
      </c>
      <c r="D100" s="292" t="str">
        <f>IF(M47="PASS","Pass",IF(M47="KWIF","Fail",""))</f>
        <v/>
      </c>
      <c r="E100" s="293"/>
      <c r="F100" s="4"/>
      <c r="G100" s="4"/>
      <c r="H100" s="4"/>
      <c r="I100" s="4"/>
      <c r="J100"/>
      <c r="K100"/>
    </row>
    <row r="101" spans="1:11" x14ac:dyDescent="0.25">
      <c r="A101" s="234" t="s">
        <v>179</v>
      </c>
      <c r="B101" s="69" t="str">
        <f>B55</f>
        <v/>
      </c>
      <c r="C101" s="233">
        <v>40</v>
      </c>
      <c r="D101" s="292" t="str">
        <f>IF(M55="PASS","Pass",IF(M55="KWIF","Fail",""))</f>
        <v/>
      </c>
      <c r="E101" s="293"/>
      <c r="F101" s="4"/>
      <c r="G101" s="4"/>
      <c r="H101" s="4"/>
      <c r="I101" s="4"/>
      <c r="J101"/>
      <c r="K101"/>
    </row>
    <row r="102" spans="1:11" x14ac:dyDescent="0.25">
      <c r="A102" s="234" t="s">
        <v>180</v>
      </c>
      <c r="B102" s="69">
        <f>B62</f>
        <v>0</v>
      </c>
      <c r="C102" s="233">
        <v>40</v>
      </c>
      <c r="D102" s="292" t="str">
        <f>IF(M61="PASS","Pass",IF(M61="KWIF","Fail",""))</f>
        <v/>
      </c>
      <c r="E102" s="293"/>
      <c r="F102" s="4"/>
      <c r="G102" s="4"/>
      <c r="H102" s="4"/>
      <c r="I102" s="4"/>
      <c r="J102"/>
      <c r="K102"/>
    </row>
    <row r="103" spans="1:11" x14ac:dyDescent="0.25">
      <c r="A103" s="235" t="s">
        <v>181</v>
      </c>
      <c r="B103" s="69">
        <f>B68</f>
        <v>0</v>
      </c>
      <c r="C103" s="233">
        <v>50</v>
      </c>
      <c r="D103" s="292" t="str">
        <f>IF(M67="PASS","Pass",IF(M67="CWIF","Fail",""))</f>
        <v/>
      </c>
      <c r="E103" s="293"/>
      <c r="F103" s="4"/>
      <c r="G103" s="4"/>
      <c r="H103" s="4"/>
      <c r="I103" s="4"/>
      <c r="J103"/>
      <c r="K103"/>
    </row>
    <row r="104" spans="1:11" x14ac:dyDescent="0.25">
      <c r="A104" s="234" t="s">
        <v>182</v>
      </c>
      <c r="B104" s="69">
        <f>B86</f>
        <v>0</v>
      </c>
      <c r="C104" s="233">
        <v>40</v>
      </c>
      <c r="D104" s="292" t="str">
        <f>IF(M72="PASS","Pass",IF(M72="KWIF","Fail",""))</f>
        <v/>
      </c>
      <c r="E104" s="293"/>
      <c r="F104" s="4"/>
      <c r="G104" s="4"/>
      <c r="H104" s="4"/>
      <c r="I104" s="4"/>
      <c r="J104"/>
      <c r="K104"/>
    </row>
    <row r="105" spans="1:11" x14ac:dyDescent="0.25">
      <c r="A105" s="235" t="s">
        <v>183</v>
      </c>
      <c r="B105" s="69">
        <f>D90</f>
        <v>0</v>
      </c>
      <c r="C105" s="233">
        <f>IF(D89="NA",0, 50)</f>
        <v>50</v>
      </c>
      <c r="D105" s="292" t="str">
        <f>IF(D89="Y","Pass",(IF(D89="N","Fail",(IF(D89="NA","n/a","")))))</f>
        <v/>
      </c>
      <c r="E105" s="293"/>
      <c r="F105" s="4"/>
      <c r="G105" s="4"/>
      <c r="H105" s="4"/>
      <c r="I105" s="4"/>
      <c r="J105"/>
      <c r="K105"/>
    </row>
    <row r="106" spans="1:11" x14ac:dyDescent="0.25">
      <c r="A106" s="236" t="s">
        <v>184</v>
      </c>
      <c r="B106" s="78" t="s">
        <v>115</v>
      </c>
      <c r="C106" s="237" t="s">
        <v>115</v>
      </c>
      <c r="D106" s="294" t="str">
        <f>IF(C94="Y","Fail",(IF(C94="N","Pass","")))</f>
        <v/>
      </c>
      <c r="E106" s="295"/>
      <c r="F106" s="4"/>
      <c r="G106" s="4"/>
      <c r="H106" s="4"/>
      <c r="I106" s="4"/>
      <c r="J106"/>
      <c r="K106"/>
    </row>
    <row r="107" spans="1:11" x14ac:dyDescent="0.25">
      <c r="A107" s="101" t="s">
        <v>185</v>
      </c>
      <c r="B107" s="157">
        <f>SUM(B98:B105)</f>
        <v>0</v>
      </c>
      <c r="C107" s="158">
        <f>SUM(C98:C105)</f>
        <v>380</v>
      </c>
      <c r="D107" s="296" t="s">
        <v>115</v>
      </c>
      <c r="E107" s="296"/>
      <c r="F107" s="4"/>
      <c r="G107" s="4"/>
      <c r="H107" s="4"/>
      <c r="I107" s="4"/>
      <c r="J107"/>
      <c r="K107"/>
    </row>
    <row r="108" spans="1:11" x14ac:dyDescent="0.25">
      <c r="B108" s="4"/>
      <c r="C108" s="4"/>
      <c r="D108" s="4"/>
      <c r="E108" s="4"/>
      <c r="F108" s="4"/>
      <c r="G108" s="4"/>
      <c r="H108" s="4"/>
      <c r="I108" s="4"/>
      <c r="J108"/>
      <c r="K108"/>
    </row>
    <row r="109" spans="1:11" x14ac:dyDescent="0.25">
      <c r="A109" s="98" t="s">
        <v>186</v>
      </c>
      <c r="B109" s="159">
        <f>B107/C107</f>
        <v>0</v>
      </c>
      <c r="D109" s="4"/>
      <c r="E109" s="10"/>
      <c r="F109" s="4"/>
      <c r="G109" s="4"/>
      <c r="H109" s="4"/>
      <c r="I109" s="4"/>
      <c r="J109"/>
      <c r="K109"/>
    </row>
    <row r="110" spans="1:11" ht="28.5" customHeight="1" x14ac:dyDescent="0.25">
      <c r="A110" s="100" t="s">
        <v>187</v>
      </c>
      <c r="B110" s="160" t="str">
        <f>IF(COUNTIF(M:M,"KWIF")&gt;1,"FAIL",IF(COUNTIF(M:M,"CWIF"),"FAIL",IF(B109&gt;=0.9,"PASS",IF(B109&lt;0.9,"FAIL"))))</f>
        <v>FAIL</v>
      </c>
      <c r="C110" s="298" t="s">
        <v>276</v>
      </c>
      <c r="D110" s="299"/>
      <c r="E110" s="299"/>
      <c r="F110" s="299"/>
      <c r="G110" s="299"/>
      <c r="H110" s="299"/>
      <c r="I110" s="299"/>
      <c r="J110"/>
      <c r="K110"/>
    </row>
    <row r="111" spans="1:11" x14ac:dyDescent="0.25">
      <c r="C111" s="4"/>
      <c r="D111" s="4"/>
      <c r="E111" s="4"/>
      <c r="F111" s="4"/>
      <c r="G111" s="4"/>
      <c r="H111" s="4"/>
      <c r="I111" s="4"/>
    </row>
    <row r="112" spans="1:11" x14ac:dyDescent="0.25">
      <c r="A112" s="1" t="s">
        <v>105</v>
      </c>
      <c r="H112" s="27"/>
      <c r="I112" s="27"/>
      <c r="J112" s="27"/>
    </row>
    <row r="113" spans="1:10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7"/>
    </row>
    <row r="114" spans="1:10" x14ac:dyDescent="0.25">
      <c r="A114" s="297"/>
      <c r="B114" s="297"/>
      <c r="C114" s="297"/>
      <c r="D114" s="297"/>
      <c r="E114" s="297"/>
      <c r="F114" s="297"/>
      <c r="G114" s="297"/>
      <c r="H114" s="297"/>
      <c r="I114" s="297"/>
      <c r="J114" s="27"/>
    </row>
    <row r="115" spans="1:10" x14ac:dyDescent="0.25">
      <c r="A115" s="297"/>
      <c r="B115" s="297"/>
      <c r="C115" s="297"/>
      <c r="D115" s="297"/>
      <c r="E115" s="297"/>
      <c r="F115" s="297"/>
      <c r="G115" s="297"/>
      <c r="H115" s="297"/>
      <c r="I115" s="297"/>
      <c r="J115" s="27"/>
    </row>
  </sheetData>
  <mergeCells count="83">
    <mergeCell ref="D107:E107"/>
    <mergeCell ref="A113:I115"/>
    <mergeCell ref="D102:E102"/>
    <mergeCell ref="D103:E103"/>
    <mergeCell ref="D104:E104"/>
    <mergeCell ref="D105:E105"/>
    <mergeCell ref="D106:E106"/>
    <mergeCell ref="C110:I110"/>
    <mergeCell ref="D97:E97"/>
    <mergeCell ref="D98:E98"/>
    <mergeCell ref="D99:E99"/>
    <mergeCell ref="D100:E100"/>
    <mergeCell ref="D101:E101"/>
    <mergeCell ref="A89:C89"/>
    <mergeCell ref="A90:C90"/>
    <mergeCell ref="A91:D91"/>
    <mergeCell ref="A93:B93"/>
    <mergeCell ref="A94:B94"/>
    <mergeCell ref="D73:F73"/>
    <mergeCell ref="G81:I81"/>
    <mergeCell ref="D83:F83"/>
    <mergeCell ref="C84:F84"/>
    <mergeCell ref="A88:C88"/>
    <mergeCell ref="G88:I88"/>
    <mergeCell ref="G64:I64"/>
    <mergeCell ref="D66:F66"/>
    <mergeCell ref="D70:F70"/>
    <mergeCell ref="G70:I70"/>
    <mergeCell ref="D72:F72"/>
    <mergeCell ref="C55:L55"/>
    <mergeCell ref="A56:H56"/>
    <mergeCell ref="F58:I58"/>
    <mergeCell ref="C60:E60"/>
    <mergeCell ref="C61:E61"/>
    <mergeCell ref="B54:C54"/>
    <mergeCell ref="D54:E54"/>
    <mergeCell ref="F54:G54"/>
    <mergeCell ref="H54:I54"/>
    <mergeCell ref="J54:K54"/>
    <mergeCell ref="A32:E32"/>
    <mergeCell ref="A33:F33"/>
    <mergeCell ref="A35:C35"/>
    <mergeCell ref="A36:C36"/>
    <mergeCell ref="A37:C37"/>
    <mergeCell ref="A27:E27"/>
    <mergeCell ref="A28:E28"/>
    <mergeCell ref="A29:E29"/>
    <mergeCell ref="A30:E30"/>
    <mergeCell ref="A31:E31"/>
    <mergeCell ref="A21:F21"/>
    <mergeCell ref="A23:E23"/>
    <mergeCell ref="A24:E24"/>
    <mergeCell ref="A25:E25"/>
    <mergeCell ref="A26:E26"/>
    <mergeCell ref="A16:E16"/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7:D7"/>
    <mergeCell ref="E7:H7"/>
    <mergeCell ref="A8:D8"/>
    <mergeCell ref="E8:H9"/>
    <mergeCell ref="A9:D9"/>
    <mergeCell ref="A1:I1"/>
    <mergeCell ref="E3:I3"/>
    <mergeCell ref="A4:D4"/>
    <mergeCell ref="A6:D6"/>
    <mergeCell ref="E6:H6"/>
    <mergeCell ref="A38:C38"/>
    <mergeCell ref="B40:F40"/>
    <mergeCell ref="A48:L48"/>
    <mergeCell ref="B50:F50"/>
    <mergeCell ref="B53:C53"/>
    <mergeCell ref="D53:E53"/>
    <mergeCell ref="F53:G53"/>
    <mergeCell ref="H53:I53"/>
    <mergeCell ref="J53:K53"/>
  </mergeCells>
  <conditionalFormatting sqref="B47">
    <cfRule type="expression" dxfId="80" priority="12">
      <formula>$M$47="KWIF"</formula>
    </cfRule>
  </conditionalFormatting>
  <conditionalFormatting sqref="B55:B57">
    <cfRule type="expression" dxfId="79" priority="13">
      <formula>$M$55="KWIF"</formula>
    </cfRule>
  </conditionalFormatting>
  <conditionalFormatting sqref="B61">
    <cfRule type="expression" dxfId="78" priority="7">
      <formula>$M$61="KWIF"</formula>
    </cfRule>
  </conditionalFormatting>
  <conditionalFormatting sqref="B67">
    <cfRule type="expression" dxfId="77" priority="8">
      <formula>$M$67="CWIF"</formula>
    </cfRule>
  </conditionalFormatting>
  <conditionalFormatting sqref="D89:D90">
    <cfRule type="endsWith" dxfId="76" priority="14" operator="endsWith" text="N">
      <formula>RIGHT(D89,LEN("N"))="N"</formula>
    </cfRule>
  </conditionalFormatting>
  <conditionalFormatting sqref="C94">
    <cfRule type="containsText" dxfId="75" priority="11" operator="containsText" text="Y">
      <formula>NOT(ISERROR(SEARCH("Y",C94)))</formula>
    </cfRule>
  </conditionalFormatting>
  <conditionalFormatting sqref="B110">
    <cfRule type="containsText" dxfId="74" priority="9" operator="containsText" text="PASS">
      <formula>NOT(ISERROR(SEARCH("PASS",B110)))</formula>
    </cfRule>
    <cfRule type="containsText" dxfId="73" priority="10" operator="containsText" text="FAIL">
      <formula>NOT(ISERROR(SEARCH("FAIL",B110)))</formula>
    </cfRule>
  </conditionalFormatting>
  <conditionalFormatting sqref="B78">
    <cfRule type="expression" dxfId="72" priority="15">
      <formula>$M$74="KWIF"</formula>
    </cfRule>
  </conditionalFormatting>
  <conditionalFormatting sqref="B83">
    <cfRule type="expression" dxfId="71" priority="16">
      <formula>$M$79="KWIF"</formula>
    </cfRule>
  </conditionalFormatting>
  <conditionalFormatting sqref="D100:E106">
    <cfRule type="cellIs" dxfId="70" priority="3" operator="equal">
      <formula>"Pass"</formula>
    </cfRule>
  </conditionalFormatting>
  <conditionalFormatting sqref="D100:E102 D104:E104">
    <cfRule type="cellIs" dxfId="69" priority="2" operator="equal">
      <formula>"Fail"</formula>
    </cfRule>
  </conditionalFormatting>
  <conditionalFormatting sqref="D103:E103 D105:E106">
    <cfRule type="cellIs" dxfId="68" priority="1" operator="equal">
      <formula>"Fail"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22D5-903A-401D-A95D-5AF23B358E56}">
  <dimension ref="A1:N115"/>
  <sheetViews>
    <sheetView showGridLines="0" zoomScaleNormal="10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11" width="15.140625" style="1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3" spans="1:13" s="17" customFormat="1" x14ac:dyDescent="0.25">
      <c r="A3" s="2" t="s">
        <v>195</v>
      </c>
      <c r="B3" s="15"/>
      <c r="C3" s="2"/>
      <c r="D3" s="2"/>
      <c r="E3" s="329" t="s">
        <v>61</v>
      </c>
      <c r="F3" s="329"/>
      <c r="G3" s="329"/>
      <c r="H3" s="329"/>
      <c r="I3" s="329"/>
      <c r="J3" s="16"/>
      <c r="K3" s="2"/>
    </row>
    <row r="4" spans="1:13" s="25" customFormat="1" ht="38.25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8" t="s">
        <v>59</v>
      </c>
      <c r="I4" s="36" t="s">
        <v>60</v>
      </c>
      <c r="J4" s="21"/>
    </row>
    <row r="5" spans="1:13" s="57" customFormat="1" ht="12.75" x14ac:dyDescent="0.2">
      <c r="A5" s="52"/>
      <c r="B5" s="52"/>
      <c r="C5" s="52"/>
      <c r="D5" s="52"/>
      <c r="E5" s="53"/>
      <c r="F5" s="54"/>
      <c r="G5" s="53"/>
      <c r="H5" s="199"/>
      <c r="I5" s="56"/>
      <c r="J5" s="53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129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25" t="s">
        <v>131</v>
      </c>
      <c r="F8" s="325"/>
      <c r="G8" s="325"/>
      <c r="H8" s="325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25"/>
      <c r="F9" s="325"/>
      <c r="G9" s="325"/>
      <c r="H9" s="325"/>
      <c r="I9"/>
      <c r="J9"/>
      <c r="K9"/>
    </row>
    <row r="10" spans="1:13" x14ac:dyDescent="0.25">
      <c r="A10" s="19"/>
      <c r="B10" s="9"/>
      <c r="C10" s="20"/>
      <c r="D10" s="9"/>
      <c r="E10" s="9"/>
      <c r="I10" s="9"/>
      <c r="J10" s="9"/>
      <c r="K10"/>
    </row>
    <row r="11" spans="1:13" ht="41.25" customHeight="1" x14ac:dyDescent="0.25">
      <c r="A11" s="323" t="s">
        <v>134</v>
      </c>
      <c r="B11" s="323"/>
      <c r="C11" s="323"/>
      <c r="D11" s="323"/>
      <c r="E11" s="323"/>
      <c r="F11" s="138" t="s">
        <v>19</v>
      </c>
      <c r="G11" s="76" t="s">
        <v>0</v>
      </c>
      <c r="H11" s="77" t="s">
        <v>25</v>
      </c>
      <c r="I11" s="4"/>
      <c r="J11"/>
      <c r="K11"/>
      <c r="M11" t="s">
        <v>41</v>
      </c>
    </row>
    <row r="12" spans="1:13" x14ac:dyDescent="0.25">
      <c r="A12" s="331" t="s">
        <v>106</v>
      </c>
      <c r="B12" s="331"/>
      <c r="C12" s="331"/>
      <c r="D12" s="331"/>
      <c r="E12" s="331"/>
      <c r="F12" s="148"/>
      <c r="G12" s="72">
        <f>IF(F12="Y",H12,IF(F12="N",0,IF(F12="",0)))</f>
        <v>0</v>
      </c>
      <c r="H12" s="73">
        <v>5</v>
      </c>
      <c r="I12" s="4"/>
    </row>
    <row r="13" spans="1:13" x14ac:dyDescent="0.25">
      <c r="A13" s="318" t="s">
        <v>107</v>
      </c>
      <c r="B13" s="318"/>
      <c r="C13" s="318"/>
      <c r="D13" s="318"/>
      <c r="E13" s="318"/>
      <c r="F13" s="149"/>
      <c r="G13" s="72">
        <f t="shared" ref="G13:G20" si="0">IF(F13="Y",H13,IF(F13="N",0,IF(F13="",0)))</f>
        <v>0</v>
      </c>
      <c r="H13" s="70">
        <v>5</v>
      </c>
      <c r="I13" s="4"/>
    </row>
    <row r="14" spans="1:13" x14ac:dyDescent="0.25">
      <c r="A14" s="318" t="s">
        <v>108</v>
      </c>
      <c r="B14" s="318"/>
      <c r="C14" s="318"/>
      <c r="D14" s="318"/>
      <c r="E14" s="318"/>
      <c r="F14" s="149"/>
      <c r="G14" s="72">
        <f t="shared" si="0"/>
        <v>0</v>
      </c>
      <c r="H14" s="70">
        <v>5</v>
      </c>
      <c r="I14" s="4"/>
    </row>
    <row r="15" spans="1:13" x14ac:dyDescent="0.25">
      <c r="A15" s="318" t="s">
        <v>109</v>
      </c>
      <c r="B15" s="318"/>
      <c r="C15" s="318"/>
      <c r="D15" s="318"/>
      <c r="E15" s="318"/>
      <c r="F15" s="149"/>
      <c r="G15" s="72">
        <f t="shared" si="0"/>
        <v>0</v>
      </c>
      <c r="H15" s="70">
        <v>5</v>
      </c>
      <c r="I15" s="4"/>
    </row>
    <row r="16" spans="1:13" x14ac:dyDescent="0.25">
      <c r="A16" s="318" t="s">
        <v>110</v>
      </c>
      <c r="B16" s="318"/>
      <c r="C16" s="318"/>
      <c r="D16" s="318"/>
      <c r="E16" s="318"/>
      <c r="F16" s="149"/>
      <c r="G16" s="72">
        <f t="shared" si="0"/>
        <v>0</v>
      </c>
      <c r="H16" s="70">
        <v>5</v>
      </c>
      <c r="I16" s="4"/>
    </row>
    <row r="17" spans="1:12" x14ac:dyDescent="0.25">
      <c r="A17" s="334" t="s">
        <v>111</v>
      </c>
      <c r="B17" s="334"/>
      <c r="C17" s="334"/>
      <c r="D17" s="334"/>
      <c r="E17" s="334"/>
      <c r="F17" s="149"/>
      <c r="G17" s="72">
        <f t="shared" si="0"/>
        <v>0</v>
      </c>
      <c r="H17" s="70">
        <v>5</v>
      </c>
      <c r="I17" s="4"/>
      <c r="L17" s="4"/>
    </row>
    <row r="18" spans="1:12" x14ac:dyDescent="0.25">
      <c r="A18" s="318" t="s">
        <v>112</v>
      </c>
      <c r="B18" s="318"/>
      <c r="C18" s="318"/>
      <c r="D18" s="318"/>
      <c r="E18" s="318"/>
      <c r="F18" s="149"/>
      <c r="G18" s="72">
        <f t="shared" si="0"/>
        <v>0</v>
      </c>
      <c r="H18" s="70">
        <v>5</v>
      </c>
      <c r="I18" s="4"/>
    </row>
    <row r="19" spans="1:12" s="13" customFormat="1" x14ac:dyDescent="0.25">
      <c r="A19" s="333" t="s">
        <v>40</v>
      </c>
      <c r="B19" s="333"/>
      <c r="C19" s="333"/>
      <c r="D19" s="333"/>
      <c r="E19" s="333"/>
      <c r="F19" s="150"/>
      <c r="G19" s="152"/>
      <c r="H19" s="70" t="s">
        <v>115</v>
      </c>
      <c r="I19" s="11"/>
      <c r="J19" s="12"/>
      <c r="K19" s="12"/>
    </row>
    <row r="20" spans="1:12" x14ac:dyDescent="0.25">
      <c r="A20" s="332" t="s">
        <v>113</v>
      </c>
      <c r="B20" s="332"/>
      <c r="C20" s="332"/>
      <c r="D20" s="332"/>
      <c r="E20" s="332"/>
      <c r="F20" s="151"/>
      <c r="G20" s="78">
        <f t="shared" si="0"/>
        <v>0</v>
      </c>
      <c r="H20" s="79">
        <v>5</v>
      </c>
      <c r="I20" s="4"/>
    </row>
    <row r="21" spans="1:12" ht="15" customHeight="1" x14ac:dyDescent="0.25">
      <c r="A21" s="326" t="s">
        <v>114</v>
      </c>
      <c r="B21" s="326"/>
      <c r="C21" s="326"/>
      <c r="D21" s="326"/>
      <c r="E21" s="326"/>
      <c r="F21" s="326"/>
      <c r="G21" s="72">
        <f>SUM(G20,G12:G18)</f>
        <v>0</v>
      </c>
      <c r="H21" s="74">
        <v>40</v>
      </c>
      <c r="I21" s="4"/>
    </row>
    <row r="22" spans="1:12" s="49" customFormat="1" ht="15" customHeight="1" x14ac:dyDescent="0.25">
      <c r="A22" s="43"/>
      <c r="B22" s="44"/>
      <c r="C22" s="45"/>
      <c r="D22" s="46"/>
      <c r="E22" s="47"/>
      <c r="F22" s="45"/>
      <c r="G22" s="45"/>
      <c r="H22" s="45"/>
      <c r="I22" s="45"/>
      <c r="J22" s="48"/>
      <c r="K22" s="48"/>
    </row>
    <row r="23" spans="1:12" ht="41.25" customHeight="1" x14ac:dyDescent="0.25">
      <c r="A23" s="301" t="s">
        <v>2</v>
      </c>
      <c r="B23" s="301"/>
      <c r="C23" s="301"/>
      <c r="D23" s="301"/>
      <c r="E23" s="301"/>
      <c r="F23" s="138" t="s">
        <v>19</v>
      </c>
      <c r="G23" s="76" t="s">
        <v>0</v>
      </c>
      <c r="H23" s="77" t="s">
        <v>25</v>
      </c>
      <c r="I23" s="4"/>
    </row>
    <row r="24" spans="1:12" x14ac:dyDescent="0.25">
      <c r="A24" s="300" t="s">
        <v>117</v>
      </c>
      <c r="B24" s="300"/>
      <c r="C24" s="300"/>
      <c r="D24" s="300"/>
      <c r="E24" s="300"/>
      <c r="F24" s="148"/>
      <c r="G24" s="72">
        <f t="shared" ref="G24:G32" si="1">IF(F24="Y",H24,IF(F24="N",0,IF(F24="",0)))</f>
        <v>0</v>
      </c>
      <c r="H24" s="73">
        <v>10</v>
      </c>
      <c r="I24" s="4"/>
    </row>
    <row r="25" spans="1:12" x14ac:dyDescent="0.25">
      <c r="A25" s="317" t="s">
        <v>118</v>
      </c>
      <c r="B25" s="317"/>
      <c r="C25" s="317"/>
      <c r="D25" s="317"/>
      <c r="E25" s="317"/>
      <c r="F25" s="149"/>
      <c r="G25" s="69">
        <f t="shared" si="1"/>
        <v>0</v>
      </c>
      <c r="H25" s="70">
        <v>10</v>
      </c>
      <c r="I25" s="4"/>
    </row>
    <row r="26" spans="1:12" x14ac:dyDescent="0.25">
      <c r="A26" s="317" t="s">
        <v>119</v>
      </c>
      <c r="B26" s="317"/>
      <c r="C26" s="317"/>
      <c r="D26" s="317"/>
      <c r="E26" s="317"/>
      <c r="F26" s="149"/>
      <c r="G26" s="69">
        <f t="shared" si="1"/>
        <v>0</v>
      </c>
      <c r="H26" s="70">
        <v>10</v>
      </c>
      <c r="I26" s="4"/>
    </row>
    <row r="27" spans="1:12" ht="29.25" customHeight="1" x14ac:dyDescent="0.25">
      <c r="A27" s="317" t="s">
        <v>120</v>
      </c>
      <c r="B27" s="317"/>
      <c r="C27" s="317"/>
      <c r="D27" s="317"/>
      <c r="E27" s="317"/>
      <c r="F27" s="149"/>
      <c r="G27" s="69">
        <f t="shared" si="1"/>
        <v>0</v>
      </c>
      <c r="H27" s="70">
        <v>10</v>
      </c>
      <c r="I27" s="4"/>
    </row>
    <row r="28" spans="1:12" x14ac:dyDescent="0.25">
      <c r="A28" s="317" t="s">
        <v>121</v>
      </c>
      <c r="B28" s="317"/>
      <c r="C28" s="317"/>
      <c r="D28" s="317"/>
      <c r="E28" s="317"/>
      <c r="F28" s="149"/>
      <c r="G28" s="69">
        <f t="shared" si="1"/>
        <v>0</v>
      </c>
      <c r="H28" s="70">
        <v>10</v>
      </c>
      <c r="I28" s="4"/>
    </row>
    <row r="29" spans="1:12" x14ac:dyDescent="0.25">
      <c r="A29" s="317" t="s">
        <v>122</v>
      </c>
      <c r="B29" s="317"/>
      <c r="C29" s="317"/>
      <c r="D29" s="317"/>
      <c r="E29" s="317"/>
      <c r="F29" s="149"/>
      <c r="G29" s="69">
        <f t="shared" si="1"/>
        <v>0</v>
      </c>
      <c r="H29" s="70">
        <v>10</v>
      </c>
      <c r="I29" s="4"/>
    </row>
    <row r="30" spans="1:12" x14ac:dyDescent="0.25">
      <c r="A30" s="317" t="s">
        <v>123</v>
      </c>
      <c r="B30" s="317"/>
      <c r="C30" s="317"/>
      <c r="D30" s="317"/>
      <c r="E30" s="317"/>
      <c r="F30" s="149"/>
      <c r="G30" s="69">
        <f t="shared" si="1"/>
        <v>0</v>
      </c>
      <c r="H30" s="70">
        <v>10</v>
      </c>
      <c r="I30" s="4"/>
    </row>
    <row r="31" spans="1:12" x14ac:dyDescent="0.25">
      <c r="A31" s="317" t="s">
        <v>124</v>
      </c>
      <c r="B31" s="317"/>
      <c r="C31" s="317"/>
      <c r="D31" s="317"/>
      <c r="E31" s="317"/>
      <c r="F31" s="149"/>
      <c r="G31" s="69">
        <f t="shared" si="1"/>
        <v>0</v>
      </c>
      <c r="H31" s="70">
        <v>10</v>
      </c>
      <c r="I31" s="4"/>
    </row>
    <row r="32" spans="1:12" x14ac:dyDescent="0.25">
      <c r="A32" s="327" t="s">
        <v>125</v>
      </c>
      <c r="B32" s="327"/>
      <c r="C32" s="327"/>
      <c r="D32" s="327"/>
      <c r="E32" s="327"/>
      <c r="F32" s="151"/>
      <c r="G32" s="78">
        <f t="shared" si="1"/>
        <v>0</v>
      </c>
      <c r="H32" s="80">
        <v>10</v>
      </c>
      <c r="I32" s="4"/>
    </row>
    <row r="33" spans="1:13" x14ac:dyDescent="0.25">
      <c r="A33" s="326" t="s">
        <v>116</v>
      </c>
      <c r="B33" s="326"/>
      <c r="C33" s="326"/>
      <c r="D33" s="326"/>
      <c r="E33" s="326"/>
      <c r="F33" s="326"/>
      <c r="G33" s="72">
        <f>SUM(G24:G32)</f>
        <v>0</v>
      </c>
      <c r="H33" s="73">
        <v>90</v>
      </c>
      <c r="I33" s="4"/>
    </row>
    <row r="34" spans="1:13" s="49" customFormat="1" x14ac:dyDescent="0.25">
      <c r="A34" s="48"/>
      <c r="B34" s="48"/>
      <c r="C34" s="48"/>
      <c r="D34" s="48"/>
      <c r="E34" s="45"/>
      <c r="F34" s="50"/>
      <c r="G34" s="45"/>
      <c r="H34" s="51"/>
      <c r="I34" s="45"/>
      <c r="J34" s="48"/>
      <c r="K34" s="48"/>
    </row>
    <row r="35" spans="1:13" x14ac:dyDescent="0.25">
      <c r="A35" s="301" t="s">
        <v>135</v>
      </c>
      <c r="B35" s="301"/>
      <c r="C35" s="301"/>
      <c r="D35" s="60" t="s">
        <v>20</v>
      </c>
      <c r="E35" s="60" t="s">
        <v>21</v>
      </c>
      <c r="F35" s="60" t="s">
        <v>22</v>
      </c>
      <c r="G35" s="60" t="s">
        <v>23</v>
      </c>
      <c r="H35" s="60" t="s">
        <v>24</v>
      </c>
      <c r="I35"/>
      <c r="J35"/>
      <c r="K35"/>
    </row>
    <row r="36" spans="1:13" ht="16.5" customHeight="1" x14ac:dyDescent="0.25">
      <c r="A36" s="300" t="s">
        <v>136</v>
      </c>
      <c r="B36" s="300"/>
      <c r="C36" s="300"/>
      <c r="D36" s="148"/>
      <c r="E36" s="148"/>
      <c r="F36" s="148"/>
      <c r="G36" s="148"/>
      <c r="H36" s="148"/>
      <c r="I36"/>
      <c r="J36"/>
      <c r="K36"/>
    </row>
    <row r="37" spans="1:13" ht="16.5" customHeight="1" x14ac:dyDescent="0.25">
      <c r="A37" s="317" t="s">
        <v>196</v>
      </c>
      <c r="B37" s="317"/>
      <c r="C37" s="317"/>
      <c r="D37" s="149"/>
      <c r="E37" s="149"/>
      <c r="F37" s="149"/>
      <c r="G37" s="149"/>
      <c r="H37" s="149"/>
      <c r="I37"/>
      <c r="J37"/>
      <c r="K37"/>
    </row>
    <row r="38" spans="1:13" ht="16.5" customHeight="1" x14ac:dyDescent="0.25">
      <c r="A38" s="318" t="s">
        <v>138</v>
      </c>
      <c r="B38" s="318"/>
      <c r="C38" s="318"/>
      <c r="D38" s="149"/>
      <c r="E38" s="149"/>
      <c r="F38" s="149"/>
      <c r="G38" s="149"/>
      <c r="H38" s="149"/>
      <c r="I38"/>
      <c r="J38"/>
      <c r="K38"/>
    </row>
    <row r="39" spans="1:13" s="49" customFormat="1" x14ac:dyDescent="0.25">
      <c r="A39" s="48"/>
      <c r="B39" s="48"/>
      <c r="C39" s="48"/>
      <c r="D39" s="48"/>
      <c r="E39" s="45"/>
      <c r="F39" s="50"/>
      <c r="G39" s="45"/>
      <c r="H39" s="51"/>
      <c r="I39" s="45"/>
      <c r="J39" s="48"/>
      <c r="K39" s="48"/>
    </row>
    <row r="40" spans="1:13" x14ac:dyDescent="0.25">
      <c r="B40" s="336" t="s">
        <v>19</v>
      </c>
      <c r="C40" s="336"/>
      <c r="D40" s="336"/>
      <c r="E40" s="336"/>
      <c r="F40" s="336"/>
      <c r="G40" s="4"/>
      <c r="H40" s="4"/>
      <c r="I40" s="4"/>
    </row>
    <row r="41" spans="1:13" ht="44.25" customHeight="1" x14ac:dyDescent="0.25">
      <c r="A41" s="85" t="s">
        <v>143</v>
      </c>
      <c r="B41" s="86" t="s">
        <v>20</v>
      </c>
      <c r="C41" s="87" t="s">
        <v>27</v>
      </c>
      <c r="D41" s="86" t="s">
        <v>21</v>
      </c>
      <c r="E41" s="87" t="s">
        <v>28</v>
      </c>
      <c r="F41" s="86" t="s">
        <v>22</v>
      </c>
      <c r="G41" s="87" t="s">
        <v>29</v>
      </c>
      <c r="H41" s="86" t="s">
        <v>23</v>
      </c>
      <c r="I41" s="87" t="s">
        <v>30</v>
      </c>
      <c r="J41" s="60" t="s">
        <v>24</v>
      </c>
      <c r="K41" s="87" t="s">
        <v>31</v>
      </c>
      <c r="L41" s="88" t="s">
        <v>26</v>
      </c>
    </row>
    <row r="42" spans="1:13" x14ac:dyDescent="0.25">
      <c r="A42" s="89" t="s">
        <v>194</v>
      </c>
      <c r="B42" s="148"/>
      <c r="C42" s="82">
        <f>IF(B42="Y",L42,IF(B42="N",0,IF(B42="",0)))</f>
        <v>0</v>
      </c>
      <c r="D42" s="148"/>
      <c r="E42" s="82">
        <f>IF(D42="Y",L42,IF(D42="N",0,IF(D42="",0)))</f>
        <v>0</v>
      </c>
      <c r="F42" s="148"/>
      <c r="G42" s="82">
        <f>IF(F42="Y",L42,IF(F42="N",0,IF(F42="",0)))</f>
        <v>0</v>
      </c>
      <c r="H42" s="148"/>
      <c r="I42" s="82">
        <f>IF(H42="Y",L42,IF(H42="N",0,IF(H42="",0)))</f>
        <v>0</v>
      </c>
      <c r="J42" s="148"/>
      <c r="K42" s="82">
        <f>IF(J42="Y",L42,IF(J42="N",0,IF(J42="",0)))</f>
        <v>0</v>
      </c>
      <c r="L42" s="73">
        <v>5</v>
      </c>
    </row>
    <row r="43" spans="1:13" x14ac:dyDescent="0.25">
      <c r="A43" s="89" t="s">
        <v>139</v>
      </c>
      <c r="B43" s="148"/>
      <c r="C43" s="82">
        <f>IF(B43="Y",L43,IF(B43="N",0,IF(B43="",0)))</f>
        <v>0</v>
      </c>
      <c r="D43" s="148"/>
      <c r="E43" s="82">
        <f>IF(D43="Y",L43,IF(D43="N",0,IF(D43="",0)))</f>
        <v>0</v>
      </c>
      <c r="F43" s="148"/>
      <c r="G43" s="82">
        <f>IF(F43="Y",L43,IF(F43="N",0,IF(F43="",0)))</f>
        <v>0</v>
      </c>
      <c r="H43" s="148"/>
      <c r="I43" s="82">
        <f>IF(H43="Y",L43,IF(H43="N",0,IF(H43="",0)))</f>
        <v>0</v>
      </c>
      <c r="J43" s="148"/>
      <c r="K43" s="82">
        <f>IF(J43="Y",L43,IF(J43="N",0,IF(J43="",0)))</f>
        <v>0</v>
      </c>
      <c r="L43" s="73">
        <v>5</v>
      </c>
    </row>
    <row r="44" spans="1:13" ht="30" x14ac:dyDescent="0.25">
      <c r="A44" s="90" t="s">
        <v>140</v>
      </c>
      <c r="B44" s="149"/>
      <c r="C44" s="81">
        <f>IF(B44="Y",L44,IF(B44="N",0,IF(B44="",0)))</f>
        <v>0</v>
      </c>
      <c r="D44" s="149"/>
      <c r="E44" s="81">
        <f>IF(D44="Y",L44,IF(D44="N",0,IF(D44="",0)))</f>
        <v>0</v>
      </c>
      <c r="F44" s="149"/>
      <c r="G44" s="81">
        <f>IF(F44="Y",L44,IF(F44="N",0,IF(F44="",0)))</f>
        <v>0</v>
      </c>
      <c r="H44" s="149"/>
      <c r="I44" s="81">
        <f>IF(H44="Y",L44,IF(H44="N",0,IF(H44="",0)))</f>
        <v>0</v>
      </c>
      <c r="J44" s="149"/>
      <c r="K44" s="81">
        <f>IF(J44="Y",L44,IF(J44="N",0,IF(J44="",0)))</f>
        <v>0</v>
      </c>
      <c r="L44" s="70">
        <v>10</v>
      </c>
    </row>
    <row r="45" spans="1:13" ht="48.95" customHeight="1" x14ac:dyDescent="0.25">
      <c r="A45" s="91" t="s">
        <v>141</v>
      </c>
      <c r="B45" s="151"/>
      <c r="C45" s="83">
        <f>IF(B45="Y",L45,IF(B45="N",0,IF(B45="",0)))</f>
        <v>0</v>
      </c>
      <c r="D45" s="151"/>
      <c r="E45" s="83">
        <f>IF(D45="Y",L45,IF(D45="N",0,IF(D45="",0)))</f>
        <v>0</v>
      </c>
      <c r="F45" s="151"/>
      <c r="G45" s="83">
        <f>IF(F45="Y",L45,IF(F45="N",0,IF(F45="",0)))</f>
        <v>0</v>
      </c>
      <c r="H45" s="151"/>
      <c r="I45" s="83">
        <f>IF(H45="Y",L45,IF(H45="N",0,IF(H45="",0)))</f>
        <v>0</v>
      </c>
      <c r="J45" s="151"/>
      <c r="K45" s="83">
        <f>IF(J45="Y",L45,IF(J45="N",0,IF(J45="",0)))</f>
        <v>0</v>
      </c>
      <c r="L45" s="80">
        <v>10</v>
      </c>
    </row>
    <row r="46" spans="1:13" x14ac:dyDescent="0.25">
      <c r="A46" s="92"/>
      <c r="B46" s="154" t="s">
        <v>32</v>
      </c>
      <c r="C46" s="82">
        <f>SUM(C42:C45)</f>
        <v>0</v>
      </c>
      <c r="D46" s="154" t="s">
        <v>33</v>
      </c>
      <c r="E46" s="82">
        <f>SUM(E42:E45)</f>
        <v>0</v>
      </c>
      <c r="F46" s="154" t="s">
        <v>34</v>
      </c>
      <c r="G46" s="82">
        <f>SUM(G42:G45)</f>
        <v>0</v>
      </c>
      <c r="H46" s="154" t="s">
        <v>35</v>
      </c>
      <c r="I46" s="82">
        <f>SUM(I42:I45)</f>
        <v>0</v>
      </c>
      <c r="J46" s="154" t="s">
        <v>36</v>
      </c>
      <c r="K46" s="82">
        <f>SUM(K42:K45)</f>
        <v>0</v>
      </c>
      <c r="L46" s="73">
        <v>30</v>
      </c>
    </row>
    <row r="47" spans="1:13" ht="48.95" customHeight="1" x14ac:dyDescent="0.25">
      <c r="A47" s="96" t="s">
        <v>144</v>
      </c>
      <c r="B47" s="153" t="str">
        <f>IF(B42="","",(SUM(C46,E46,G46,I46,K46))/(COUNTA(B42,D42,F42,H42,J42)))</f>
        <v/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t="str">
        <f>IF(B42="","NA",IF((B47&lt;20)*(COUNTA(B42,D42,F42,H42,J42)&lt;3),"KWIF",IF((B47&lt;25)*(COUNTA(B42,D42,F42,H42,J42)&gt;2),"KWIF","PASS")))</f>
        <v>NA</v>
      </c>
    </row>
    <row r="48" spans="1:13" ht="45" customHeight="1" x14ac:dyDescent="0.25">
      <c r="A48" s="319" t="s">
        <v>142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</row>
    <row r="49" spans="1:14" s="49" customFormat="1" x14ac:dyDescent="0.25">
      <c r="A49" s="48"/>
      <c r="B49" s="48"/>
      <c r="C49" s="48"/>
      <c r="D49" s="48"/>
      <c r="E49" s="45"/>
      <c r="F49" s="50"/>
      <c r="G49" s="45"/>
      <c r="H49" s="51"/>
      <c r="I49" s="45"/>
      <c r="J49" s="48"/>
      <c r="K49" s="48"/>
    </row>
    <row r="50" spans="1:14" x14ac:dyDescent="0.25">
      <c r="A50" s="37"/>
      <c r="B50" s="336" t="s">
        <v>101</v>
      </c>
      <c r="C50" s="336"/>
      <c r="D50" s="336"/>
      <c r="E50" s="336"/>
      <c r="F50" s="336"/>
      <c r="G50" s="4"/>
      <c r="H50" s="4"/>
      <c r="I50" s="4"/>
    </row>
    <row r="51" spans="1:14" ht="44.25" customHeight="1" x14ac:dyDescent="0.25">
      <c r="A51" s="85" t="s">
        <v>37</v>
      </c>
      <c r="B51" s="86" t="s">
        <v>20</v>
      </c>
      <c r="C51" s="87" t="s">
        <v>27</v>
      </c>
      <c r="D51" s="86" t="s">
        <v>21</v>
      </c>
      <c r="E51" s="87" t="s">
        <v>28</v>
      </c>
      <c r="F51" s="86" t="s">
        <v>22</v>
      </c>
      <c r="G51" s="87" t="s">
        <v>29</v>
      </c>
      <c r="H51" s="86" t="s">
        <v>23</v>
      </c>
      <c r="I51" s="87" t="s">
        <v>30</v>
      </c>
      <c r="J51" s="60" t="s">
        <v>24</v>
      </c>
      <c r="K51" s="87" t="s">
        <v>31</v>
      </c>
      <c r="L51" s="88" t="s">
        <v>26</v>
      </c>
    </row>
    <row r="52" spans="1:14" ht="79.5" customHeight="1" x14ac:dyDescent="0.25">
      <c r="A52" s="89" t="s">
        <v>145</v>
      </c>
      <c r="B52" s="148"/>
      <c r="C52" s="82">
        <f>IF(B52="",0,IF(B52&lt;61,40,IF((B52&gt;60)*(B52&lt;91),30,IF((B52&gt;90)*8*(B52&lt;121),20,IF((B52&gt;120)*(B53&lt;&gt;""),10,IF((B52&gt;120)*(B53=""),0))))))</f>
        <v>0</v>
      </c>
      <c r="D52" s="148"/>
      <c r="E52" s="82">
        <f>IF(D52="",0,IF(D52&lt;61,40,IF((D52&gt;60)*(D52&lt;91),30,IF((D52&gt;90)*8*(D52&lt;121),20,IF((D52&gt;120)*(D53&lt;&gt;""),10,IF((D52&gt;120)*(D53=""),0))))))</f>
        <v>0</v>
      </c>
      <c r="F52" s="148"/>
      <c r="G52" s="82">
        <f>IF(F52="",0,IF(F52&lt;61,40,IF((F52&gt;60)*(F52&lt;91),30,IF((F52&gt;90)*8*(F52&lt;121),20,IF((F52&gt;120)*(F53&lt;&gt;""),10,IF((F52&gt;120)*(F53=""),0))))))</f>
        <v>0</v>
      </c>
      <c r="H52" s="148"/>
      <c r="I52" s="82">
        <f>IF(H52="",0,IF(H52&lt;61,40,IF((H52&gt;60)*(H52&lt;91),30,IF((H52&gt;90)*8*(H52&lt;121),20,IF((H52&gt;120)*(H53&lt;&gt;""),10,IF((H52&gt;120)*(H53=""),0))))))</f>
        <v>0</v>
      </c>
      <c r="J52" s="148"/>
      <c r="K52" s="82">
        <f>IF(J52="",0,IF(J52&lt;61,40,IF((J52&gt;60)*(J52&lt;91),30,IF((J52&gt;90)*8*(J52&lt;121),20,IF((J52&gt;120)*(J53&lt;&gt;""),10,IF((J52&gt;120)*(J53=""),0))))))</f>
        <v>0</v>
      </c>
      <c r="L52" s="73">
        <v>40</v>
      </c>
    </row>
    <row r="53" spans="1:14" ht="45" x14ac:dyDescent="0.25">
      <c r="A53" s="90" t="s">
        <v>104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142"/>
    </row>
    <row r="54" spans="1:14" x14ac:dyDescent="0.25">
      <c r="A54" s="98" t="s">
        <v>146</v>
      </c>
      <c r="B54" s="320"/>
      <c r="C54" s="321"/>
      <c r="D54" s="320"/>
      <c r="E54" s="321"/>
      <c r="F54" s="320"/>
      <c r="G54" s="321"/>
      <c r="H54" s="320"/>
      <c r="I54" s="321"/>
      <c r="J54" s="320"/>
      <c r="K54" s="321"/>
      <c r="L54" s="97"/>
    </row>
    <row r="55" spans="1:14" ht="45" x14ac:dyDescent="0.25">
      <c r="A55" s="96" t="s">
        <v>147</v>
      </c>
      <c r="B55" s="72" t="str">
        <f>IF(B52="","",(SUM(C52,E52,G52,I52,K52))/(COUNTA(B52,D52,F52,H52,J52)))</f>
        <v/>
      </c>
      <c r="C55" s="338"/>
      <c r="D55" s="339"/>
      <c r="E55" s="339"/>
      <c r="F55" s="339"/>
      <c r="G55" s="339"/>
      <c r="H55" s="339"/>
      <c r="I55" s="339"/>
      <c r="J55" s="339"/>
      <c r="K55" s="339"/>
      <c r="L55" s="339"/>
      <c r="M55" t="str">
        <f>IF(B42="","NA",IF((B55&lt;30)*(COUNTA(B46,D46,F46,H46,J46)&lt;3),"KWIF",IF((B55&lt;35)*(COUNTA(B46,D46,F46,H46,J46)&gt;2),"KWIF","PASS")))</f>
        <v>NA</v>
      </c>
    </row>
    <row r="56" spans="1:14" ht="47.25" customHeight="1" x14ac:dyDescent="0.25">
      <c r="A56" s="341" t="s">
        <v>148</v>
      </c>
      <c r="B56" s="341"/>
      <c r="C56" s="342"/>
      <c r="D56" s="342"/>
      <c r="E56" s="342"/>
      <c r="F56" s="342"/>
      <c r="G56" s="342"/>
      <c r="H56" s="342"/>
      <c r="I56" s="41"/>
      <c r="J56" s="41"/>
      <c r="K56" s="41"/>
      <c r="L56" s="41"/>
    </row>
    <row r="57" spans="1:14" ht="14.25" customHeight="1" x14ac:dyDescent="0.25">
      <c r="A57" s="67"/>
      <c r="B57" s="67"/>
      <c r="C57" s="99"/>
      <c r="D57" s="99"/>
      <c r="E57" s="99"/>
      <c r="F57" s="99"/>
      <c r="G57" s="99"/>
      <c r="H57" s="99"/>
      <c r="I57" s="41"/>
      <c r="J57" s="41"/>
      <c r="K57" s="41"/>
      <c r="L57" s="41"/>
    </row>
    <row r="58" spans="1:14" ht="30" x14ac:dyDescent="0.25">
      <c r="A58" s="85" t="s">
        <v>3</v>
      </c>
      <c r="B58" s="85" t="s">
        <v>42</v>
      </c>
      <c r="D58" s="7"/>
      <c r="E58" s="7"/>
      <c r="F58" s="330" t="s">
        <v>25</v>
      </c>
      <c r="G58" s="330"/>
      <c r="H58" s="330"/>
      <c r="I58" s="330"/>
      <c r="J58"/>
      <c r="K58"/>
    </row>
    <row r="59" spans="1:14" x14ac:dyDescent="0.25">
      <c r="A59" s="89" t="s">
        <v>155</v>
      </c>
      <c r="B59" s="61"/>
      <c r="C59" s="7"/>
      <c r="F59" s="71">
        <v>40</v>
      </c>
      <c r="G59" s="70">
        <v>30</v>
      </c>
      <c r="H59" s="70">
        <v>20</v>
      </c>
      <c r="I59" s="70">
        <v>0</v>
      </c>
      <c r="J59" s="13"/>
      <c r="K59"/>
    </row>
    <row r="60" spans="1:14" ht="15" customHeight="1" x14ac:dyDescent="0.25">
      <c r="A60" s="90" t="s">
        <v>156</v>
      </c>
      <c r="B60" s="63"/>
      <c r="C60" s="305" t="s">
        <v>47</v>
      </c>
      <c r="D60" s="305"/>
      <c r="E60" s="305"/>
      <c r="F60" s="105">
        <v>0</v>
      </c>
      <c r="G60" s="106" t="s">
        <v>4</v>
      </c>
      <c r="H60" s="70" t="s">
        <v>5</v>
      </c>
      <c r="I60" s="70" t="s">
        <v>6</v>
      </c>
      <c r="J60" s="13"/>
      <c r="K60"/>
    </row>
    <row r="61" spans="1:14" ht="15" customHeight="1" x14ac:dyDescent="0.25">
      <c r="A61" s="102" t="s">
        <v>149</v>
      </c>
      <c r="B61" s="103" t="str">
        <f>IF(B60="","",B59/B60)</f>
        <v/>
      </c>
      <c r="C61" s="305" t="s">
        <v>48</v>
      </c>
      <c r="D61" s="305"/>
      <c r="E61" s="305"/>
      <c r="F61" s="71" t="s">
        <v>43</v>
      </c>
      <c r="G61" s="106" t="s">
        <v>46</v>
      </c>
      <c r="H61" s="70" t="s">
        <v>44</v>
      </c>
      <c r="I61" s="70" t="s">
        <v>45</v>
      </c>
      <c r="K61"/>
      <c r="M61" t="str">
        <f>IF(B61="","NA",IF(B62&lt;30,"KWIF","PASS"))</f>
        <v>NA</v>
      </c>
    </row>
    <row r="62" spans="1:14" ht="15" customHeight="1" x14ac:dyDescent="0.25">
      <c r="A62" s="101" t="s">
        <v>150</v>
      </c>
      <c r="B62" s="72">
        <f>IF(B60&lt;100,M63,M62)</f>
        <v>0</v>
      </c>
      <c r="C62" s="8"/>
      <c r="F62" s="107" t="s">
        <v>151</v>
      </c>
      <c r="G62" s="94" t="s">
        <v>152</v>
      </c>
      <c r="H62" s="108" t="s">
        <v>153</v>
      </c>
      <c r="I62" s="109" t="s">
        <v>154</v>
      </c>
      <c r="K62"/>
      <c r="M62" s="3">
        <f>IF(B61="",0,IF(B61=0,F59,IF((B61&gt;0)*(B61&lt;=0.01),G59,IF((B61&gt;0.01)*(B61&lt;=0.03),H59,IF(B61&gt;0.03,I59)))))</f>
        <v>0</v>
      </c>
      <c r="N62" t="s">
        <v>50</v>
      </c>
    </row>
    <row r="63" spans="1:14" x14ac:dyDescent="0.25">
      <c r="C63" s="8"/>
      <c r="K63"/>
      <c r="M63" s="3">
        <f>IF(B59="",0,IF(B59=0,F59,IF(B59=1,G59,IF(B59=2,H59,IF(B59&gt;1,I59)))))</f>
        <v>0</v>
      </c>
      <c r="N63" t="s">
        <v>51</v>
      </c>
    </row>
    <row r="64" spans="1:14" ht="30" x14ac:dyDescent="0.25">
      <c r="A64" s="85" t="s">
        <v>7</v>
      </c>
      <c r="B64" s="85" t="s">
        <v>42</v>
      </c>
      <c r="C64" s="48"/>
      <c r="G64" s="343" t="s">
        <v>25</v>
      </c>
      <c r="H64" s="344"/>
      <c r="I64" s="345"/>
    </row>
    <row r="65" spans="1:14" x14ac:dyDescent="0.25">
      <c r="A65" s="89" t="s">
        <v>188</v>
      </c>
      <c r="B65" s="61"/>
      <c r="C65" s="104"/>
      <c r="D65" s="118"/>
      <c r="E65" s="118"/>
      <c r="F65" s="118"/>
      <c r="G65" s="71">
        <v>50</v>
      </c>
      <c r="H65" s="70">
        <v>40</v>
      </c>
      <c r="I65" s="70">
        <v>0</v>
      </c>
      <c r="J65"/>
      <c r="K65"/>
    </row>
    <row r="66" spans="1:14" ht="15" customHeight="1" x14ac:dyDescent="0.25">
      <c r="A66" s="90" t="s">
        <v>156</v>
      </c>
      <c r="B66" s="63"/>
      <c r="C66" s="47"/>
      <c r="D66" s="330"/>
      <c r="E66" s="330"/>
      <c r="F66" s="330"/>
      <c r="G66" s="105">
        <v>0</v>
      </c>
      <c r="H66" s="106" t="s">
        <v>8</v>
      </c>
      <c r="I66" s="70" t="s">
        <v>9</v>
      </c>
      <c r="J66"/>
      <c r="K66"/>
    </row>
    <row r="67" spans="1:14" x14ac:dyDescent="0.25">
      <c r="A67" s="102" t="s">
        <v>189</v>
      </c>
      <c r="B67" s="103" t="str">
        <f>IF(B66="","",B65/B66)</f>
        <v/>
      </c>
      <c r="C67" s="48"/>
      <c r="D67" s="114"/>
      <c r="E67" s="115"/>
      <c r="F67" s="115"/>
      <c r="G67" s="110" t="s">
        <v>151</v>
      </c>
      <c r="H67" s="111" t="s">
        <v>152</v>
      </c>
      <c r="I67" s="112" t="s">
        <v>154</v>
      </c>
      <c r="M67" t="str">
        <f>IF(B66="","NA",IF(B67&gt;0.1,"CWIF","PASS"))</f>
        <v>NA</v>
      </c>
    </row>
    <row r="68" spans="1:14" x14ac:dyDescent="0.25">
      <c r="A68" s="101" t="s">
        <v>157</v>
      </c>
      <c r="B68" s="72">
        <f>IF(B66="",0,IF(B67=0,G65,IF((B67&gt;0)*(B67&lt;=0.1),H65,IF(B67&gt;0.1,I65))))</f>
        <v>0</v>
      </c>
      <c r="C68" s="45"/>
      <c r="D68" s="114"/>
      <c r="E68" s="115"/>
      <c r="F68" s="115"/>
      <c r="G68" s="119"/>
      <c r="H68" s="120"/>
      <c r="I68" s="121"/>
    </row>
    <row r="69" spans="1:14" x14ac:dyDescent="0.25">
      <c r="C69" s="47"/>
      <c r="D69" s="116"/>
      <c r="E69" s="117"/>
      <c r="F69" s="115"/>
      <c r="G69" s="4"/>
      <c r="H69" s="4"/>
      <c r="I69" s="4"/>
    </row>
    <row r="70" spans="1:14" ht="30" x14ac:dyDescent="0.25">
      <c r="A70" s="85" t="s">
        <v>10</v>
      </c>
      <c r="B70" s="85" t="s">
        <v>42</v>
      </c>
      <c r="C70" s="8"/>
      <c r="D70" s="337"/>
      <c r="E70" s="337"/>
      <c r="F70" s="337"/>
      <c r="G70" s="330" t="s">
        <v>25</v>
      </c>
      <c r="H70" s="330"/>
      <c r="I70" s="330"/>
      <c r="J70" s="11"/>
    </row>
    <row r="71" spans="1:14" x14ac:dyDescent="0.25">
      <c r="A71" s="89" t="s">
        <v>160</v>
      </c>
      <c r="B71" s="62"/>
      <c r="C71" s="7"/>
      <c r="D71" s="7"/>
      <c r="E71" s="7"/>
      <c r="F71" s="7"/>
      <c r="G71" s="71">
        <v>20</v>
      </c>
      <c r="H71" s="71">
        <v>15</v>
      </c>
      <c r="I71" s="70">
        <v>0</v>
      </c>
      <c r="J71" s="30"/>
      <c r="K71"/>
    </row>
    <row r="72" spans="1:14" x14ac:dyDescent="0.25">
      <c r="A72" s="90" t="s">
        <v>167</v>
      </c>
      <c r="B72" s="64"/>
      <c r="C72"/>
      <c r="D72" s="305" t="s">
        <v>47</v>
      </c>
      <c r="E72" s="305"/>
      <c r="F72" s="306"/>
      <c r="G72" s="106" t="s">
        <v>11</v>
      </c>
      <c r="H72" s="106" t="s">
        <v>12</v>
      </c>
      <c r="I72" s="70" t="s">
        <v>13</v>
      </c>
      <c r="K72"/>
      <c r="M72" t="str">
        <f>IF(B77="","NA",IF((COUNTIF(M74:M81,"KWIF")),"KWIF","PASS"))</f>
        <v>NA</v>
      </c>
    </row>
    <row r="73" spans="1:14" x14ac:dyDescent="0.25">
      <c r="A73" s="90" t="s">
        <v>168</v>
      </c>
      <c r="B73" s="64"/>
      <c r="D73" s="305" t="s">
        <v>48</v>
      </c>
      <c r="E73" s="305"/>
      <c r="F73" s="306"/>
      <c r="G73" s="71" t="s">
        <v>43</v>
      </c>
      <c r="H73" s="106" t="s">
        <v>46</v>
      </c>
      <c r="I73" s="70" t="s">
        <v>49</v>
      </c>
      <c r="K73"/>
    </row>
    <row r="74" spans="1:14" x14ac:dyDescent="0.25">
      <c r="A74" s="90" t="s">
        <v>161</v>
      </c>
      <c r="B74" s="64"/>
      <c r="C74" s="47"/>
      <c r="F74" s="122"/>
      <c r="G74" s="110" t="s">
        <v>151</v>
      </c>
      <c r="H74" s="111" t="s">
        <v>152</v>
      </c>
      <c r="I74" s="112" t="s">
        <v>154</v>
      </c>
      <c r="K74"/>
      <c r="M74" t="str">
        <f>IF(B77="","NA",IF(B79&lt;15,"KWIF",IF(B84&lt;15,"KWIF","PASS")))</f>
        <v>NA</v>
      </c>
    </row>
    <row r="75" spans="1:14" x14ac:dyDescent="0.25">
      <c r="A75" s="102" t="s">
        <v>162</v>
      </c>
      <c r="B75" s="84"/>
      <c r="C75" s="47"/>
      <c r="F75" s="122"/>
      <c r="G75" s="123"/>
      <c r="H75" s="124"/>
      <c r="I75" s="125"/>
      <c r="K75"/>
      <c r="M75" s="3">
        <f>IF(B78="",0,IF(B78&lt;=0.01,G71,IF((B78&gt;0.01)*(B78&lt;=0.02),H71,IF(B78&gt;0.02,I71))))</f>
        <v>0</v>
      </c>
      <c r="N75" t="s">
        <v>50</v>
      </c>
    </row>
    <row r="76" spans="1:14" x14ac:dyDescent="0.25">
      <c r="A76" s="89" t="s">
        <v>163</v>
      </c>
      <c r="B76" s="127">
        <f>SUM(B71:B75)</f>
        <v>0</v>
      </c>
      <c r="C76" s="47"/>
      <c r="F76" s="122"/>
      <c r="G76" s="119"/>
      <c r="H76" s="120"/>
      <c r="I76" s="121"/>
      <c r="K76"/>
      <c r="M76" s="3"/>
    </row>
    <row r="77" spans="1:14" x14ac:dyDescent="0.25">
      <c r="A77" s="90" t="s">
        <v>156</v>
      </c>
      <c r="B77" s="64"/>
      <c r="F77" s="122"/>
      <c r="G77" s="119"/>
      <c r="H77" s="120"/>
      <c r="I77" s="121"/>
      <c r="K77"/>
      <c r="M77" s="3">
        <f>IF(B77="",0,IF(B76=0,G71,IF(B76=1,H71,IF(B76&gt;1,I71))))</f>
        <v>0</v>
      </c>
      <c r="N77" t="s">
        <v>51</v>
      </c>
    </row>
    <row r="78" spans="1:14" ht="30" x14ac:dyDescent="0.25">
      <c r="A78" s="91" t="s">
        <v>158</v>
      </c>
      <c r="B78" s="128" t="str">
        <f>IF(B77="","",B76/B77)</f>
        <v/>
      </c>
    </row>
    <row r="79" spans="1:14" x14ac:dyDescent="0.25">
      <c r="A79" s="126" t="s">
        <v>169</v>
      </c>
      <c r="B79" s="72">
        <f>IF(B77="",M75,IF(B77&lt;100,M77,M75))</f>
        <v>0</v>
      </c>
      <c r="J79" s="30"/>
    </row>
    <row r="80" spans="1:14" x14ac:dyDescent="0.25">
      <c r="J80" s="4"/>
    </row>
    <row r="81" spans="1:14" ht="15" customHeight="1" x14ac:dyDescent="0.25">
      <c r="A81" s="90" t="s">
        <v>170</v>
      </c>
      <c r="B81" s="141"/>
      <c r="F81" s="4"/>
      <c r="G81" s="335" t="s">
        <v>25</v>
      </c>
      <c r="H81" s="335"/>
      <c r="I81" s="335"/>
      <c r="J81" s="4"/>
      <c r="M81" t="str">
        <f>IF(B85="","NA",IF(B86&lt;15,"KWIF",IF(B91&lt;15,"KWIF","PASS")))</f>
        <v>NA</v>
      </c>
    </row>
    <row r="82" spans="1:14" ht="15.75" customHeight="1" x14ac:dyDescent="0.25">
      <c r="A82" s="155" t="s">
        <v>156</v>
      </c>
      <c r="B82" s="163">
        <f>B77</f>
        <v>0</v>
      </c>
      <c r="C82" s="45"/>
      <c r="F82" s="4"/>
      <c r="G82" s="71">
        <v>20</v>
      </c>
      <c r="H82" s="71">
        <v>15</v>
      </c>
      <c r="I82" s="70">
        <v>0</v>
      </c>
      <c r="J82" s="4"/>
      <c r="M82" s="3">
        <f>IF(B77="",0,IF(B83&lt;=0.025,G82,IF((B83&gt;0.025)*(B83&lt;=0.05),H82,IF(B83&gt;0.05,I82))))</f>
        <v>0</v>
      </c>
      <c r="N82" t="s">
        <v>50</v>
      </c>
    </row>
    <row r="83" spans="1:14" ht="26.25" customHeight="1" x14ac:dyDescent="0.25">
      <c r="A83" s="130" t="s">
        <v>159</v>
      </c>
      <c r="B83" s="128" t="str">
        <f>IF(B77="","",B81/B82)</f>
        <v/>
      </c>
      <c r="C83" s="45"/>
      <c r="D83" s="305" t="s">
        <v>47</v>
      </c>
      <c r="E83" s="305"/>
      <c r="F83" s="306"/>
      <c r="G83" s="106" t="s">
        <v>55</v>
      </c>
      <c r="H83" s="106" t="s">
        <v>56</v>
      </c>
      <c r="I83" s="70" t="s">
        <v>57</v>
      </c>
      <c r="J83" s="4"/>
      <c r="M83" s="3">
        <f>IF(B77="",0,IF(B81&lt;2,G82,IF((B81&gt;1)*(B81&lt;4),H82,IF(B81&gt;3,I82))))</f>
        <v>0</v>
      </c>
      <c r="N83" t="s">
        <v>51</v>
      </c>
    </row>
    <row r="84" spans="1:14" ht="15" customHeight="1" x14ac:dyDescent="0.25">
      <c r="A84" s="126" t="s">
        <v>169</v>
      </c>
      <c r="B84" s="72">
        <f>IF(B77="",M82,IF(B77&lt;100,M83,M82))</f>
        <v>0</v>
      </c>
      <c r="C84" s="307" t="s">
        <v>48</v>
      </c>
      <c r="D84" s="308"/>
      <c r="E84" s="308"/>
      <c r="F84" s="309"/>
      <c r="G84" s="71" t="s">
        <v>190</v>
      </c>
      <c r="H84" s="106" t="s">
        <v>191</v>
      </c>
      <c r="I84" s="70" t="s">
        <v>102</v>
      </c>
      <c r="J84" s="4"/>
    </row>
    <row r="85" spans="1:14" x14ac:dyDescent="0.25">
      <c r="B85" s="4"/>
      <c r="C85" s="48"/>
      <c r="G85" s="110" t="s">
        <v>151</v>
      </c>
      <c r="H85" s="111" t="s">
        <v>152</v>
      </c>
      <c r="I85" s="112" t="s">
        <v>154</v>
      </c>
      <c r="J85"/>
      <c r="K85"/>
    </row>
    <row r="86" spans="1:14" ht="30" x14ac:dyDescent="0.25">
      <c r="A86" s="98" t="s">
        <v>166</v>
      </c>
      <c r="B86" s="176">
        <f>SUM(B84,B79)</f>
        <v>0</v>
      </c>
      <c r="C86" s="133"/>
      <c r="D86" s="134"/>
      <c r="E86" s="135"/>
      <c r="F86" s="132"/>
      <c r="G86" s="11"/>
      <c r="H86" s="42"/>
      <c r="I86" s="42"/>
      <c r="J86"/>
      <c r="K86"/>
    </row>
    <row r="87" spans="1:14" ht="15" customHeight="1" x14ac:dyDescent="0.25">
      <c r="C87" s="134"/>
      <c r="D87" s="133"/>
      <c r="E87" s="133"/>
      <c r="F87" s="133"/>
      <c r="H87" s="32"/>
      <c r="I87" s="32"/>
      <c r="J87" s="38"/>
      <c r="K87" s="38"/>
    </row>
    <row r="88" spans="1:14" ht="54" x14ac:dyDescent="0.25">
      <c r="A88" s="314" t="s">
        <v>14</v>
      </c>
      <c r="B88" s="315"/>
      <c r="C88" s="316"/>
      <c r="D88" s="85" t="s">
        <v>38</v>
      </c>
      <c r="E88" s="137"/>
      <c r="F88" s="137"/>
      <c r="G88" s="310" t="s">
        <v>25</v>
      </c>
      <c r="H88" s="310"/>
      <c r="I88" s="310"/>
      <c r="J88" s="9"/>
    </row>
    <row r="89" spans="1:14" ht="43.5" customHeight="1" x14ac:dyDescent="0.25">
      <c r="A89" s="311" t="s">
        <v>171</v>
      </c>
      <c r="B89" s="311"/>
      <c r="C89" s="311"/>
      <c r="D89" s="156"/>
      <c r="E89" s="131"/>
      <c r="F89" s="131"/>
      <c r="G89" s="70">
        <v>50</v>
      </c>
      <c r="H89" s="70">
        <v>0</v>
      </c>
      <c r="I89" s="70" t="s">
        <v>15</v>
      </c>
      <c r="M89" t="str">
        <f>IF(D89="","NA",IF(D89="N","CWIF","PASS"))</f>
        <v>NA</v>
      </c>
    </row>
    <row r="90" spans="1:14" x14ac:dyDescent="0.25">
      <c r="A90" s="313" t="s">
        <v>174</v>
      </c>
      <c r="B90" s="313"/>
      <c r="C90" s="313"/>
      <c r="D90" s="72">
        <f>IF(D89="Y",G89,IF(D89="N",0,IF(D89="NA","",IF(D89="",0))))</f>
        <v>0</v>
      </c>
      <c r="E90" s="131"/>
      <c r="F90" s="131"/>
      <c r="G90" s="70" t="s">
        <v>16</v>
      </c>
      <c r="H90" s="106" t="s">
        <v>17</v>
      </c>
      <c r="I90" s="70" t="s">
        <v>39</v>
      </c>
    </row>
    <row r="91" spans="1:14" x14ac:dyDescent="0.25">
      <c r="A91" s="312" t="s">
        <v>172</v>
      </c>
      <c r="B91" s="312"/>
      <c r="C91" s="312"/>
      <c r="D91" s="312"/>
      <c r="E91" s="132"/>
      <c r="F91" s="131"/>
      <c r="G91" s="111" t="s">
        <v>152</v>
      </c>
      <c r="H91" s="112" t="s">
        <v>154</v>
      </c>
      <c r="I91" s="68" t="s">
        <v>173</v>
      </c>
      <c r="J91" s="7"/>
    </row>
    <row r="92" spans="1:14" x14ac:dyDescent="0.25">
      <c r="A92" s="6"/>
      <c r="B92" s="6"/>
      <c r="C92" s="133"/>
      <c r="D92" s="131"/>
      <c r="E92" s="132"/>
      <c r="F92" s="131"/>
      <c r="G92"/>
      <c r="H92" s="4"/>
      <c r="I92" s="4"/>
      <c r="J92" s="7"/>
    </row>
    <row r="93" spans="1:14" ht="41.25" x14ac:dyDescent="0.25">
      <c r="A93" s="301" t="s">
        <v>18</v>
      </c>
      <c r="B93" s="301"/>
      <c r="C93" s="85" t="s">
        <v>19</v>
      </c>
      <c r="D93" s="134"/>
      <c r="E93" s="136"/>
      <c r="F93" s="136"/>
    </row>
    <row r="94" spans="1:14" x14ac:dyDescent="0.25">
      <c r="A94" s="300" t="s">
        <v>67</v>
      </c>
      <c r="B94" s="300"/>
      <c r="C94" s="62"/>
      <c r="D94" s="14" t="s">
        <v>1</v>
      </c>
      <c r="E94" s="4"/>
      <c r="F94" s="4"/>
      <c r="G94" s="4"/>
      <c r="H94" s="4"/>
      <c r="I94" s="4"/>
      <c r="K94" s="4"/>
      <c r="M94" t="str">
        <f>IF(C94="","NA",IF(C94="Y","CWIF","PASS"))</f>
        <v>NA</v>
      </c>
    </row>
    <row r="95" spans="1:14" x14ac:dyDescent="0.25">
      <c r="C95" s="4"/>
      <c r="D95" s="4"/>
      <c r="E95" s="4"/>
      <c r="F95" s="4"/>
      <c r="G95" s="4"/>
      <c r="H95" s="4"/>
      <c r="I95" s="4"/>
    </row>
    <row r="96" spans="1:14" x14ac:dyDescent="0.25">
      <c r="C96" s="4"/>
      <c r="D96" s="4"/>
      <c r="E96" s="4"/>
      <c r="F96" s="4"/>
      <c r="G96" s="4"/>
      <c r="H96" s="4"/>
      <c r="I96" s="4"/>
    </row>
    <row r="97" spans="1:11" ht="15.75" customHeight="1" x14ac:dyDescent="0.25">
      <c r="A97" s="85" t="s">
        <v>175</v>
      </c>
      <c r="B97" s="172" t="s">
        <v>0</v>
      </c>
      <c r="C97" s="172" t="s">
        <v>25</v>
      </c>
      <c r="D97" s="302" t="s">
        <v>273</v>
      </c>
      <c r="E97" s="302"/>
      <c r="F97" s="4"/>
      <c r="G97" s="4"/>
      <c r="H97" s="4"/>
      <c r="I97" s="4"/>
      <c r="J97"/>
      <c r="K97"/>
    </row>
    <row r="98" spans="1:11" x14ac:dyDescent="0.25">
      <c r="A98" s="231" t="s">
        <v>176</v>
      </c>
      <c r="B98" s="72">
        <f>G21</f>
        <v>0</v>
      </c>
      <c r="C98" s="152">
        <v>40</v>
      </c>
      <c r="D98" s="303" t="s">
        <v>115</v>
      </c>
      <c r="E98" s="303"/>
      <c r="F98" s="4"/>
      <c r="G98" s="4"/>
      <c r="H98" s="4"/>
      <c r="I98" s="4"/>
      <c r="J98"/>
      <c r="K98"/>
    </row>
    <row r="99" spans="1:11" x14ac:dyDescent="0.25">
      <c r="A99" s="232" t="s">
        <v>177</v>
      </c>
      <c r="B99" s="69">
        <f>G33</f>
        <v>0</v>
      </c>
      <c r="C99" s="233">
        <v>90</v>
      </c>
      <c r="D99" s="304" t="s">
        <v>115</v>
      </c>
      <c r="E99" s="304"/>
      <c r="F99" s="4"/>
      <c r="G99" s="4"/>
      <c r="H99" s="4"/>
      <c r="I99" s="4"/>
      <c r="J99"/>
      <c r="K99"/>
    </row>
    <row r="100" spans="1:11" x14ac:dyDescent="0.25">
      <c r="A100" s="234" t="s">
        <v>178</v>
      </c>
      <c r="B100" s="153" t="str">
        <f>B47</f>
        <v/>
      </c>
      <c r="C100" s="233">
        <v>30</v>
      </c>
      <c r="D100" s="292" t="str">
        <f>IF(M47="PASS","Pass",IF(M47="KWIF","Fail",""))</f>
        <v/>
      </c>
      <c r="E100" s="293"/>
      <c r="F100" s="4"/>
      <c r="G100" s="4"/>
      <c r="H100" s="4"/>
      <c r="I100" s="4"/>
      <c r="J100"/>
      <c r="K100"/>
    </row>
    <row r="101" spans="1:11" x14ac:dyDescent="0.25">
      <c r="A101" s="234" t="s">
        <v>179</v>
      </c>
      <c r="B101" s="69" t="str">
        <f>B55</f>
        <v/>
      </c>
      <c r="C101" s="233">
        <v>40</v>
      </c>
      <c r="D101" s="292" t="str">
        <f>IF(M55="PASS","Pass",IF(M55="KWIF","Fail",""))</f>
        <v/>
      </c>
      <c r="E101" s="293"/>
      <c r="F101" s="4"/>
      <c r="G101" s="4"/>
      <c r="H101" s="4"/>
      <c r="I101" s="4"/>
      <c r="J101"/>
      <c r="K101"/>
    </row>
    <row r="102" spans="1:11" x14ac:dyDescent="0.25">
      <c r="A102" s="234" t="s">
        <v>180</v>
      </c>
      <c r="B102" s="69">
        <f>B62</f>
        <v>0</v>
      </c>
      <c r="C102" s="233">
        <v>40</v>
      </c>
      <c r="D102" s="292" t="str">
        <f>IF(M61="PASS","Pass",IF(M61="KWIF","Fail",""))</f>
        <v/>
      </c>
      <c r="E102" s="293"/>
      <c r="F102" s="4"/>
      <c r="G102" s="4"/>
      <c r="H102" s="4"/>
      <c r="I102" s="4"/>
      <c r="J102"/>
      <c r="K102"/>
    </row>
    <row r="103" spans="1:11" x14ac:dyDescent="0.25">
      <c r="A103" s="235" t="s">
        <v>181</v>
      </c>
      <c r="B103" s="69">
        <f>B68</f>
        <v>0</v>
      </c>
      <c r="C103" s="233">
        <v>50</v>
      </c>
      <c r="D103" s="292" t="str">
        <f>IF(M67="PASS","Pass",IF(M67="CWIF","Fail",""))</f>
        <v/>
      </c>
      <c r="E103" s="293"/>
      <c r="F103" s="4"/>
      <c r="G103" s="4"/>
      <c r="H103" s="4"/>
      <c r="I103" s="4"/>
      <c r="J103"/>
      <c r="K103"/>
    </row>
    <row r="104" spans="1:11" x14ac:dyDescent="0.25">
      <c r="A104" s="234" t="s">
        <v>182</v>
      </c>
      <c r="B104" s="69">
        <f>B86</f>
        <v>0</v>
      </c>
      <c r="C104" s="233">
        <v>40</v>
      </c>
      <c r="D104" s="292" t="str">
        <f>IF(M74="PASS","Pass",IF(M74="KWIF","Fail",""))</f>
        <v/>
      </c>
      <c r="E104" s="293"/>
      <c r="F104" s="4"/>
      <c r="G104" s="4"/>
      <c r="H104" s="4"/>
      <c r="I104" s="4"/>
      <c r="J104"/>
      <c r="K104"/>
    </row>
    <row r="105" spans="1:11" x14ac:dyDescent="0.25">
      <c r="A105" s="235" t="s">
        <v>183</v>
      </c>
      <c r="B105" s="69">
        <f>D90</f>
        <v>0</v>
      </c>
      <c r="C105" s="233">
        <f>IF(D89="NA",0, 50)</f>
        <v>50</v>
      </c>
      <c r="D105" s="292" t="str">
        <f>IF(D89="Y","Pass",(IF(D89="N","Fail",(IF(D89="NA","n/a","")))))</f>
        <v/>
      </c>
      <c r="E105" s="293"/>
      <c r="F105" s="4"/>
      <c r="G105" s="4"/>
      <c r="H105" s="4"/>
      <c r="I105" s="4"/>
      <c r="J105"/>
      <c r="K105"/>
    </row>
    <row r="106" spans="1:11" x14ac:dyDescent="0.25">
      <c r="A106" s="236" t="s">
        <v>184</v>
      </c>
      <c r="B106" s="78" t="s">
        <v>115</v>
      </c>
      <c r="C106" s="237" t="s">
        <v>115</v>
      </c>
      <c r="D106" s="294" t="str">
        <f>IF(C94="Y","Fail",(IF(C94="N","Pass","")))</f>
        <v/>
      </c>
      <c r="E106" s="295"/>
      <c r="F106" s="4"/>
      <c r="G106" s="4"/>
      <c r="H106" s="4"/>
      <c r="I106" s="4"/>
      <c r="J106"/>
      <c r="K106"/>
    </row>
    <row r="107" spans="1:11" x14ac:dyDescent="0.25">
      <c r="A107" s="101" t="s">
        <v>185</v>
      </c>
      <c r="B107" s="157">
        <f>SUM(B98:B105)</f>
        <v>0</v>
      </c>
      <c r="C107" s="158">
        <f>SUM(C98:C105)</f>
        <v>380</v>
      </c>
      <c r="D107" s="296" t="s">
        <v>115</v>
      </c>
      <c r="E107" s="296"/>
      <c r="F107" s="4"/>
      <c r="G107" s="4"/>
      <c r="H107" s="4"/>
      <c r="I107" s="4"/>
      <c r="J107"/>
      <c r="K107"/>
    </row>
    <row r="108" spans="1:11" x14ac:dyDescent="0.25">
      <c r="B108" s="4"/>
      <c r="C108" s="4"/>
      <c r="D108" s="4"/>
      <c r="E108" s="4"/>
      <c r="F108" s="4"/>
      <c r="G108" s="4"/>
      <c r="H108" s="4"/>
      <c r="I108" s="4"/>
      <c r="J108"/>
      <c r="K108"/>
    </row>
    <row r="109" spans="1:11" x14ac:dyDescent="0.25">
      <c r="A109" s="98" t="s">
        <v>186</v>
      </c>
      <c r="B109" s="159">
        <f>B107/C107</f>
        <v>0</v>
      </c>
      <c r="D109" s="4"/>
      <c r="E109" s="10"/>
      <c r="F109" s="4"/>
      <c r="G109" s="4"/>
      <c r="H109" s="4"/>
      <c r="I109" s="4"/>
      <c r="J109"/>
      <c r="K109"/>
    </row>
    <row r="110" spans="1:11" ht="28.5" customHeight="1" x14ac:dyDescent="0.25">
      <c r="A110" s="100" t="s">
        <v>187</v>
      </c>
      <c r="B110" s="160" t="str">
        <f>IF(COUNTIF(M:M,"KWIF")&gt;1,"FAIL",IF(COUNTIF(M:M,"CWIF"),"FAIL",IF(B109&gt;=0.9,"PASS",IF(B109&lt;0.9,"FAIL"))))</f>
        <v>FAIL</v>
      </c>
      <c r="C110" s="298" t="s">
        <v>276</v>
      </c>
      <c r="D110" s="299"/>
      <c r="E110" s="299"/>
      <c r="F110" s="299"/>
      <c r="G110" s="299"/>
      <c r="H110" s="299"/>
      <c r="I110" s="299"/>
      <c r="J110"/>
      <c r="K110"/>
    </row>
    <row r="111" spans="1:11" x14ac:dyDescent="0.25">
      <c r="C111" s="4"/>
      <c r="D111" s="4"/>
      <c r="E111" s="4"/>
      <c r="F111" s="4"/>
      <c r="G111" s="4"/>
      <c r="H111" s="4"/>
      <c r="I111" s="4"/>
    </row>
    <row r="112" spans="1:11" x14ac:dyDescent="0.25">
      <c r="A112" s="1" t="s">
        <v>105</v>
      </c>
      <c r="H112" s="27"/>
      <c r="I112" s="27"/>
      <c r="J112" s="27"/>
    </row>
    <row r="113" spans="1:10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7"/>
    </row>
    <row r="114" spans="1:10" x14ac:dyDescent="0.25">
      <c r="A114" s="297"/>
      <c r="B114" s="297"/>
      <c r="C114" s="297"/>
      <c r="D114" s="297"/>
      <c r="E114" s="297"/>
      <c r="F114" s="297"/>
      <c r="G114" s="297"/>
      <c r="H114" s="297"/>
      <c r="I114" s="297"/>
      <c r="J114" s="27"/>
    </row>
    <row r="115" spans="1:10" x14ac:dyDescent="0.25">
      <c r="A115" s="297"/>
      <c r="B115" s="297"/>
      <c r="C115" s="297"/>
      <c r="D115" s="297"/>
      <c r="E115" s="297"/>
      <c r="F115" s="297"/>
      <c r="G115" s="297"/>
      <c r="H115" s="297"/>
      <c r="I115" s="297"/>
      <c r="J115" s="27"/>
    </row>
  </sheetData>
  <mergeCells count="83">
    <mergeCell ref="D105:E105"/>
    <mergeCell ref="D106:E106"/>
    <mergeCell ref="D107:E107"/>
    <mergeCell ref="A113:I115"/>
    <mergeCell ref="C110:I110"/>
    <mergeCell ref="D100:E100"/>
    <mergeCell ref="D101:E101"/>
    <mergeCell ref="D102:E102"/>
    <mergeCell ref="D103:E103"/>
    <mergeCell ref="D104:E104"/>
    <mergeCell ref="A93:B93"/>
    <mergeCell ref="A94:B94"/>
    <mergeCell ref="D97:E97"/>
    <mergeCell ref="D98:E98"/>
    <mergeCell ref="D99:E99"/>
    <mergeCell ref="A88:C88"/>
    <mergeCell ref="G88:I88"/>
    <mergeCell ref="A89:C89"/>
    <mergeCell ref="A90:C90"/>
    <mergeCell ref="A91:D91"/>
    <mergeCell ref="D72:F72"/>
    <mergeCell ref="D73:F73"/>
    <mergeCell ref="G81:I81"/>
    <mergeCell ref="D83:F83"/>
    <mergeCell ref="C84:F84"/>
    <mergeCell ref="J54:K54"/>
    <mergeCell ref="C55:L55"/>
    <mergeCell ref="A56:H56"/>
    <mergeCell ref="F58:I58"/>
    <mergeCell ref="C60:E60"/>
    <mergeCell ref="B54:C54"/>
    <mergeCell ref="D54:E54"/>
    <mergeCell ref="F54:G54"/>
    <mergeCell ref="H54:I54"/>
    <mergeCell ref="A38:C38"/>
    <mergeCell ref="B40:F40"/>
    <mergeCell ref="A48:L48"/>
    <mergeCell ref="B50:F50"/>
    <mergeCell ref="B53:C53"/>
    <mergeCell ref="D53:E53"/>
    <mergeCell ref="F53:G53"/>
    <mergeCell ref="H53:I53"/>
    <mergeCell ref="J53:K53"/>
    <mergeCell ref="A32:E32"/>
    <mergeCell ref="A33:F33"/>
    <mergeCell ref="A35:C35"/>
    <mergeCell ref="A36:C36"/>
    <mergeCell ref="A37:C37"/>
    <mergeCell ref="A27:E27"/>
    <mergeCell ref="A28:E28"/>
    <mergeCell ref="A29:E29"/>
    <mergeCell ref="A30:E30"/>
    <mergeCell ref="A31:E31"/>
    <mergeCell ref="A21:F21"/>
    <mergeCell ref="A23:E23"/>
    <mergeCell ref="A24:E24"/>
    <mergeCell ref="A25:E25"/>
    <mergeCell ref="A26:E26"/>
    <mergeCell ref="A16:E16"/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7:D7"/>
    <mergeCell ref="E7:H7"/>
    <mergeCell ref="A8:D8"/>
    <mergeCell ref="E8:H9"/>
    <mergeCell ref="A9:D9"/>
    <mergeCell ref="A1:I1"/>
    <mergeCell ref="E3:I3"/>
    <mergeCell ref="A4:D4"/>
    <mergeCell ref="A6:D6"/>
    <mergeCell ref="E6:H6"/>
    <mergeCell ref="C61:E61"/>
    <mergeCell ref="G64:I64"/>
    <mergeCell ref="D66:F66"/>
    <mergeCell ref="D70:F70"/>
    <mergeCell ref="G70:I70"/>
  </mergeCells>
  <conditionalFormatting sqref="B47">
    <cfRule type="expression" dxfId="67" priority="12">
      <formula>$M$47="KWIF"</formula>
    </cfRule>
  </conditionalFormatting>
  <conditionalFormatting sqref="B55:B57">
    <cfRule type="expression" dxfId="66" priority="13">
      <formula>$M$55="KWIF"</formula>
    </cfRule>
  </conditionalFormatting>
  <conditionalFormatting sqref="B61">
    <cfRule type="expression" dxfId="65" priority="7">
      <formula>$M$61="KWIF"</formula>
    </cfRule>
  </conditionalFormatting>
  <conditionalFormatting sqref="B67">
    <cfRule type="expression" dxfId="64" priority="8">
      <formula>$M$61="CWIF"</formula>
    </cfRule>
  </conditionalFormatting>
  <conditionalFormatting sqref="D89:D90">
    <cfRule type="endsWith" dxfId="63" priority="14" operator="endsWith" text="N">
      <formula>RIGHT(D89,LEN("N"))="N"</formula>
    </cfRule>
  </conditionalFormatting>
  <conditionalFormatting sqref="C94">
    <cfRule type="containsText" dxfId="62" priority="11" operator="containsText" text="Y">
      <formula>NOT(ISERROR(SEARCH("Y",C94)))</formula>
    </cfRule>
  </conditionalFormatting>
  <conditionalFormatting sqref="B110">
    <cfRule type="containsText" dxfId="61" priority="9" operator="containsText" text="PASS">
      <formula>NOT(ISERROR(SEARCH("PASS",B110)))</formula>
    </cfRule>
    <cfRule type="containsText" dxfId="60" priority="10" operator="containsText" text="FAIL">
      <formula>NOT(ISERROR(SEARCH("FAIL",B110)))</formula>
    </cfRule>
  </conditionalFormatting>
  <conditionalFormatting sqref="B78">
    <cfRule type="expression" dxfId="59" priority="15">
      <formula>$M$74="KWIF"</formula>
    </cfRule>
  </conditionalFormatting>
  <conditionalFormatting sqref="B83">
    <cfRule type="expression" dxfId="58" priority="16">
      <formula>$M$81="KWIF"</formula>
    </cfRule>
  </conditionalFormatting>
  <conditionalFormatting sqref="D100:E106">
    <cfRule type="cellIs" dxfId="57" priority="3" operator="equal">
      <formula>"Pass"</formula>
    </cfRule>
  </conditionalFormatting>
  <conditionalFormatting sqref="D100:E102 D104:E104">
    <cfRule type="cellIs" dxfId="56" priority="2" operator="equal">
      <formula>"Fail"</formula>
    </cfRule>
  </conditionalFormatting>
  <conditionalFormatting sqref="D103:E103 D105:E106">
    <cfRule type="cellIs" dxfId="55" priority="1" operator="equal">
      <formula>"Fail"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A5D69-6EAF-4252-9D82-2B616D5E6AA8}">
  <dimension ref="A1:N96"/>
  <sheetViews>
    <sheetView showGridLines="0" zoomScaleNormal="10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7" width="15.140625" style="1" customWidth="1"/>
    <col min="8" max="11" width="15.140625" style="27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2" spans="1:13" x14ac:dyDescent="0.25">
      <c r="H2" s="1"/>
      <c r="I2" s="1"/>
      <c r="J2" s="1"/>
      <c r="K2" s="1"/>
    </row>
    <row r="3" spans="1:13" s="17" customFormat="1" x14ac:dyDescent="0.25">
      <c r="A3" s="2" t="s">
        <v>65</v>
      </c>
      <c r="B3" s="15"/>
      <c r="C3" s="2"/>
      <c r="D3" s="2"/>
      <c r="E3" s="329" t="s">
        <v>61</v>
      </c>
      <c r="F3" s="329"/>
      <c r="G3" s="329"/>
      <c r="H3" s="329"/>
      <c r="I3" s="329"/>
      <c r="J3" s="31"/>
      <c r="K3" s="35"/>
    </row>
    <row r="4" spans="1:13" s="25" customFormat="1" ht="42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7" t="s">
        <v>59</v>
      </c>
      <c r="I4" s="26" t="s">
        <v>60</v>
      </c>
      <c r="J4" s="21"/>
    </row>
    <row r="5" spans="1:13" s="17" customFormat="1" x14ac:dyDescent="0.25">
      <c r="A5" s="2"/>
      <c r="B5" s="2"/>
      <c r="C5" s="15"/>
      <c r="D5" s="2"/>
      <c r="E5" s="2"/>
      <c r="F5" s="165"/>
      <c r="G5" s="165"/>
      <c r="H5" s="165"/>
      <c r="I5" s="165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200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81" t="s">
        <v>201</v>
      </c>
      <c r="F8" s="382"/>
      <c r="G8" s="382"/>
      <c r="H8" s="383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81" t="s">
        <v>202</v>
      </c>
      <c r="F9" s="382"/>
      <c r="G9" s="382"/>
      <c r="H9" s="383"/>
      <c r="I9"/>
      <c r="J9"/>
      <c r="K9"/>
    </row>
    <row r="10" spans="1:13" x14ac:dyDescent="0.25">
      <c r="A10" s="19"/>
      <c r="B10" s="9"/>
      <c r="C10" s="20"/>
      <c r="D10" s="9"/>
      <c r="E10" s="9"/>
      <c r="I10" s="21"/>
      <c r="J10" s="21"/>
      <c r="K10" s="25"/>
    </row>
    <row r="11" spans="1:13" ht="42.75" customHeight="1" x14ac:dyDescent="0.25">
      <c r="A11" s="374" t="s">
        <v>134</v>
      </c>
      <c r="B11" s="375"/>
      <c r="C11" s="375"/>
      <c r="D11" s="375"/>
      <c r="E11" s="376"/>
      <c r="F11" s="85" t="s">
        <v>19</v>
      </c>
      <c r="G11" s="190" t="s">
        <v>0</v>
      </c>
      <c r="H11" s="88" t="s">
        <v>25</v>
      </c>
      <c r="I11" s="29"/>
      <c r="J11" s="25"/>
      <c r="K11" s="25"/>
      <c r="M11" t="s">
        <v>41</v>
      </c>
    </row>
    <row r="12" spans="1:13" ht="32.25" customHeight="1" x14ac:dyDescent="0.25">
      <c r="A12" s="373" t="s">
        <v>203</v>
      </c>
      <c r="B12" s="373"/>
      <c r="C12" s="373"/>
      <c r="D12" s="373"/>
      <c r="E12" s="373"/>
      <c r="F12" s="238"/>
      <c r="G12" s="188">
        <f>IF(F12="Y",H12,IF(F12="N",0,IF(F12="",0)))</f>
        <v>0</v>
      </c>
      <c r="H12" s="189">
        <v>5</v>
      </c>
      <c r="I12" s="29"/>
    </row>
    <row r="13" spans="1:13" ht="15" customHeight="1" x14ac:dyDescent="0.25">
      <c r="A13" s="334" t="s">
        <v>204</v>
      </c>
      <c r="B13" s="334"/>
      <c r="C13" s="334"/>
      <c r="D13" s="334"/>
      <c r="E13" s="334"/>
      <c r="F13" s="239"/>
      <c r="G13" s="185">
        <f t="shared" ref="G13:G28" si="0">IF(F13="Y",H13,IF(F13="N",0,IF(F13="",0)))</f>
        <v>0</v>
      </c>
      <c r="H13" s="186">
        <v>5</v>
      </c>
      <c r="I13" s="29"/>
    </row>
    <row r="14" spans="1:13" ht="15" customHeight="1" x14ac:dyDescent="0.25">
      <c r="A14" s="334" t="s">
        <v>205</v>
      </c>
      <c r="B14" s="334"/>
      <c r="C14" s="334"/>
      <c r="D14" s="334"/>
      <c r="E14" s="334"/>
      <c r="F14" s="239"/>
      <c r="G14" s="185">
        <f t="shared" si="0"/>
        <v>0</v>
      </c>
      <c r="H14" s="186">
        <v>5</v>
      </c>
      <c r="I14" s="29"/>
    </row>
    <row r="15" spans="1:13" ht="15" customHeight="1" x14ac:dyDescent="0.25">
      <c r="A15" s="334" t="s">
        <v>206</v>
      </c>
      <c r="B15" s="334"/>
      <c r="C15" s="334"/>
      <c r="D15" s="334"/>
      <c r="E15" s="334"/>
      <c r="F15" s="239"/>
      <c r="G15" s="185">
        <f t="shared" si="0"/>
        <v>0</v>
      </c>
      <c r="H15" s="186">
        <v>5</v>
      </c>
      <c r="I15" s="29"/>
    </row>
    <row r="16" spans="1:13" ht="32.25" customHeight="1" x14ac:dyDescent="0.25">
      <c r="A16" s="334" t="s">
        <v>207</v>
      </c>
      <c r="B16" s="334"/>
      <c r="C16" s="334"/>
      <c r="D16" s="334"/>
      <c r="E16" s="334"/>
      <c r="F16" s="239"/>
      <c r="G16" s="185">
        <f t="shared" si="0"/>
        <v>0</v>
      </c>
      <c r="H16" s="186">
        <v>5</v>
      </c>
      <c r="I16" s="29"/>
    </row>
    <row r="17" spans="1:13" x14ac:dyDescent="0.25">
      <c r="A17" s="334" t="s">
        <v>208</v>
      </c>
      <c r="B17" s="334"/>
      <c r="C17" s="334"/>
      <c r="D17" s="334"/>
      <c r="E17" s="334"/>
      <c r="F17" s="239"/>
      <c r="G17" s="185">
        <f t="shared" si="0"/>
        <v>0</v>
      </c>
      <c r="H17" s="186">
        <v>5</v>
      </c>
      <c r="I17" s="29"/>
      <c r="L17" s="4"/>
    </row>
    <row r="18" spans="1:13" ht="15" customHeight="1" x14ac:dyDescent="0.25">
      <c r="A18" s="334" t="s">
        <v>209</v>
      </c>
      <c r="B18" s="334"/>
      <c r="C18" s="334"/>
      <c r="D18" s="334"/>
      <c r="E18" s="334"/>
      <c r="F18" s="239"/>
      <c r="G18" s="185">
        <f t="shared" ref="G18" si="1">IF(F18="Y",H18,IF(F18="N",0,IF(F18="",0)))</f>
        <v>0</v>
      </c>
      <c r="H18" s="186">
        <v>5</v>
      </c>
      <c r="I18" s="29"/>
      <c r="L18" s="4"/>
    </row>
    <row r="19" spans="1:13" ht="15" customHeight="1" x14ac:dyDescent="0.25">
      <c r="A19" s="334" t="s">
        <v>210</v>
      </c>
      <c r="B19" s="334"/>
      <c r="C19" s="334"/>
      <c r="D19" s="334"/>
      <c r="E19" s="334"/>
      <c r="F19" s="239"/>
      <c r="G19" s="185">
        <f t="shared" si="0"/>
        <v>0</v>
      </c>
      <c r="H19" s="186">
        <v>5</v>
      </c>
      <c r="I19" s="29"/>
    </row>
    <row r="20" spans="1:13" s="13" customFormat="1" ht="15" customHeight="1" x14ac:dyDescent="0.25">
      <c r="A20" s="334" t="s">
        <v>211</v>
      </c>
      <c r="B20" s="334"/>
      <c r="C20" s="334"/>
      <c r="D20" s="334"/>
      <c r="E20" s="334"/>
      <c r="F20" s="239"/>
      <c r="G20" s="185">
        <f t="shared" ref="G20" si="2">IF(F20="Y",H20,IF(F20="N",0,IF(F20="",0)))</f>
        <v>0</v>
      </c>
      <c r="H20" s="186">
        <v>5</v>
      </c>
      <c r="I20" s="30"/>
      <c r="J20" s="32"/>
      <c r="K20" s="32"/>
    </row>
    <row r="21" spans="1:13" ht="32.25" customHeight="1" x14ac:dyDescent="0.25">
      <c r="A21" s="384" t="s">
        <v>212</v>
      </c>
      <c r="B21" s="384"/>
      <c r="C21" s="384"/>
      <c r="D21" s="384"/>
      <c r="E21" s="384"/>
      <c r="F21" s="240"/>
      <c r="G21" s="191">
        <f t="shared" si="0"/>
        <v>0</v>
      </c>
      <c r="H21" s="192">
        <v>5</v>
      </c>
      <c r="I21" s="29"/>
    </row>
    <row r="22" spans="1:13" ht="15" customHeight="1" x14ac:dyDescent="0.25">
      <c r="A22" s="326" t="s">
        <v>114</v>
      </c>
      <c r="B22" s="326"/>
      <c r="C22" s="326"/>
      <c r="D22" s="326"/>
      <c r="E22" s="326"/>
      <c r="F22" s="326"/>
      <c r="G22" s="72">
        <f>SUM(G12:G21)</f>
        <v>0</v>
      </c>
      <c r="H22" s="74">
        <f>SUM(H12:H21)</f>
        <v>50</v>
      </c>
      <c r="I22" s="4"/>
      <c r="J22" s="1"/>
      <c r="K22" s="1"/>
    </row>
    <row r="23" spans="1:13" s="49" customFormat="1" x14ac:dyDescent="0.25">
      <c r="A23" s="179"/>
      <c r="B23" s="179"/>
      <c r="C23" s="179"/>
      <c r="D23" s="179"/>
      <c r="E23" s="179"/>
      <c r="F23" s="180"/>
      <c r="G23" s="181"/>
      <c r="H23" s="182"/>
      <c r="I23" s="183"/>
      <c r="J23" s="184"/>
      <c r="K23" s="184"/>
    </row>
    <row r="24" spans="1:13" ht="41.25" x14ac:dyDescent="0.25">
      <c r="A24" s="314" t="s">
        <v>2</v>
      </c>
      <c r="B24" s="315"/>
      <c r="C24" s="315"/>
      <c r="D24" s="315"/>
      <c r="E24" s="316"/>
      <c r="F24" s="85" t="s">
        <v>19</v>
      </c>
      <c r="G24" s="190" t="s">
        <v>0</v>
      </c>
      <c r="H24" s="88" t="s">
        <v>25</v>
      </c>
      <c r="I24" s="29"/>
    </row>
    <row r="25" spans="1:13" x14ac:dyDescent="0.25">
      <c r="A25" s="300" t="s">
        <v>122</v>
      </c>
      <c r="B25" s="300"/>
      <c r="C25" s="300"/>
      <c r="D25" s="300"/>
      <c r="E25" s="300"/>
      <c r="F25" s="140"/>
      <c r="G25" s="72">
        <f t="shared" si="0"/>
        <v>0</v>
      </c>
      <c r="H25" s="73">
        <v>10</v>
      </c>
      <c r="I25" s="29"/>
    </row>
    <row r="26" spans="1:13" ht="15" customHeight="1" x14ac:dyDescent="0.25">
      <c r="A26" s="317" t="s">
        <v>213</v>
      </c>
      <c r="B26" s="317"/>
      <c r="C26" s="317"/>
      <c r="D26" s="317"/>
      <c r="E26" s="317"/>
      <c r="F26" s="141"/>
      <c r="G26" s="69">
        <f t="shared" si="0"/>
        <v>0</v>
      </c>
      <c r="H26" s="70">
        <v>10</v>
      </c>
      <c r="I26" s="29"/>
    </row>
    <row r="27" spans="1:13" ht="15" customHeight="1" x14ac:dyDescent="0.25">
      <c r="A27" s="317" t="s">
        <v>214</v>
      </c>
      <c r="B27" s="317"/>
      <c r="C27" s="317"/>
      <c r="D27" s="317"/>
      <c r="E27" s="317"/>
      <c r="F27" s="141"/>
      <c r="G27" s="69">
        <f t="shared" si="0"/>
        <v>0</v>
      </c>
      <c r="H27" s="70">
        <v>10</v>
      </c>
      <c r="I27" s="29"/>
    </row>
    <row r="28" spans="1:13" x14ac:dyDescent="0.25">
      <c r="A28" s="327" t="s">
        <v>215</v>
      </c>
      <c r="B28" s="327"/>
      <c r="C28" s="327"/>
      <c r="D28" s="327"/>
      <c r="E28" s="327"/>
      <c r="F28" s="146"/>
      <c r="G28" s="78">
        <f t="shared" si="0"/>
        <v>0</v>
      </c>
      <c r="H28" s="80">
        <v>10</v>
      </c>
      <c r="I28" s="29"/>
    </row>
    <row r="29" spans="1:13" ht="15" customHeight="1" x14ac:dyDescent="0.25">
      <c r="A29" s="326" t="s">
        <v>116</v>
      </c>
      <c r="B29" s="326"/>
      <c r="C29" s="326"/>
      <c r="D29" s="326"/>
      <c r="E29" s="326"/>
      <c r="F29" s="326"/>
      <c r="G29" s="72">
        <f>SUM(G25:G28)</f>
        <v>0</v>
      </c>
      <c r="H29" s="74">
        <f>SUM(H25:H28)</f>
        <v>40</v>
      </c>
      <c r="I29" s="4"/>
      <c r="J29" s="1"/>
      <c r="K29" s="1"/>
    </row>
    <row r="30" spans="1:13" s="49" customFormat="1" x14ac:dyDescent="0.25">
      <c r="A30" s="179"/>
      <c r="B30" s="179"/>
      <c r="C30" s="179"/>
      <c r="D30" s="179"/>
      <c r="E30" s="179"/>
      <c r="F30" s="180"/>
      <c r="G30" s="181"/>
      <c r="H30" s="182"/>
      <c r="I30" s="183"/>
      <c r="J30" s="184"/>
      <c r="K30" s="184"/>
    </row>
    <row r="31" spans="1:13" ht="41.25" x14ac:dyDescent="0.25">
      <c r="A31" s="301" t="s">
        <v>66</v>
      </c>
      <c r="B31" s="301"/>
      <c r="C31" s="301"/>
      <c r="D31" s="301"/>
      <c r="E31" s="301"/>
      <c r="F31" s="85" t="s">
        <v>19</v>
      </c>
      <c r="G31" s="190" t="s">
        <v>0</v>
      </c>
      <c r="H31" s="88" t="s">
        <v>25</v>
      </c>
      <c r="I31" s="29"/>
      <c r="M31" t="str">
        <f>IF(F32="Y","PASS",IF(F32="N","CWIF"," "))</f>
        <v xml:space="preserve"> </v>
      </c>
    </row>
    <row r="32" spans="1:13" x14ac:dyDescent="0.25">
      <c r="A32" s="371" t="s">
        <v>216</v>
      </c>
      <c r="B32" s="371"/>
      <c r="C32" s="371"/>
      <c r="D32" s="371"/>
      <c r="E32" s="371"/>
      <c r="F32" s="226"/>
      <c r="G32" s="195">
        <f t="shared" ref="G32" si="3">IF(F32="Y",H32,IF(F32="N",0,IF(F32="",0)))</f>
        <v>0</v>
      </c>
      <c r="H32" s="196">
        <v>50</v>
      </c>
      <c r="I32" s="29"/>
      <c r="J32" s="25"/>
      <c r="K32" s="25"/>
    </row>
    <row r="33" spans="1:14" s="49" customFormat="1" x14ac:dyDescent="0.25">
      <c r="A33" s="179"/>
      <c r="B33" s="179"/>
      <c r="C33" s="179"/>
      <c r="D33" s="179"/>
      <c r="E33" s="179"/>
      <c r="F33" s="180"/>
      <c r="G33" s="181"/>
      <c r="H33" s="182"/>
      <c r="I33" s="183"/>
      <c r="J33" s="184"/>
      <c r="K33" s="184"/>
    </row>
    <row r="34" spans="1:14" ht="30" x14ac:dyDescent="0.25">
      <c r="A34" s="85" t="s">
        <v>68</v>
      </c>
      <c r="B34" s="85" t="s">
        <v>42</v>
      </c>
      <c r="C34" s="48"/>
      <c r="E34" s="330" t="s">
        <v>25</v>
      </c>
      <c r="F34" s="330"/>
      <c r="G34" s="330"/>
      <c r="H34" s="330"/>
      <c r="I34" s="29"/>
      <c r="J34" s="25"/>
      <c r="K34" s="25"/>
    </row>
    <row r="35" spans="1:14" x14ac:dyDescent="0.25">
      <c r="A35" s="89" t="s">
        <v>155</v>
      </c>
      <c r="B35" s="62"/>
      <c r="C35" s="134"/>
      <c r="D35" s="202"/>
      <c r="E35" s="187">
        <v>40</v>
      </c>
      <c r="F35" s="186">
        <v>30</v>
      </c>
      <c r="G35" s="186">
        <v>20</v>
      </c>
      <c r="H35" s="186">
        <v>0</v>
      </c>
      <c r="I35" s="29"/>
      <c r="J35" s="25"/>
      <c r="K35" s="25"/>
    </row>
    <row r="36" spans="1:14" x14ac:dyDescent="0.25">
      <c r="A36" s="90" t="s">
        <v>156</v>
      </c>
      <c r="B36" s="64"/>
      <c r="C36" s="305" t="s">
        <v>47</v>
      </c>
      <c r="D36" s="305"/>
      <c r="E36" s="209">
        <v>0</v>
      </c>
      <c r="F36" s="210" t="s">
        <v>4</v>
      </c>
      <c r="G36" s="186" t="s">
        <v>5</v>
      </c>
      <c r="H36" s="186" t="s">
        <v>6</v>
      </c>
      <c r="I36" s="30"/>
      <c r="J36" s="33"/>
      <c r="K36" s="25"/>
    </row>
    <row r="37" spans="1:14" s="19" customFormat="1" ht="27" customHeight="1" x14ac:dyDescent="0.25">
      <c r="A37" s="248" t="s">
        <v>149</v>
      </c>
      <c r="B37" s="229" t="str">
        <f>IF(B36=0,"",B35/B36)</f>
        <v/>
      </c>
      <c r="C37" s="347" t="s">
        <v>48</v>
      </c>
      <c r="D37" s="347"/>
      <c r="E37" s="187" t="s">
        <v>43</v>
      </c>
      <c r="F37" s="210" t="s">
        <v>46</v>
      </c>
      <c r="G37" s="186" t="s">
        <v>44</v>
      </c>
      <c r="H37" s="186" t="s">
        <v>45</v>
      </c>
      <c r="I37" s="249"/>
      <c r="J37" s="250"/>
      <c r="K37" s="251"/>
      <c r="M37" s="19" t="str">
        <f>IF(B36="","NA",IF(B38&lt;30,"KWIF","PASS"))</f>
        <v>NA</v>
      </c>
    </row>
    <row r="38" spans="1:14" x14ac:dyDescent="0.25">
      <c r="A38" s="101" t="s">
        <v>219</v>
      </c>
      <c r="B38" s="72">
        <f>IF(B36&lt;100,M39,M38)</f>
        <v>0</v>
      </c>
      <c r="C38" s="203"/>
      <c r="D38" s="206"/>
      <c r="E38" s="110" t="s">
        <v>151</v>
      </c>
      <c r="F38" s="111" t="s">
        <v>152</v>
      </c>
      <c r="G38" s="200" t="s">
        <v>153</v>
      </c>
      <c r="H38" s="112" t="s">
        <v>154</v>
      </c>
      <c r="J38" s="167"/>
      <c r="K38" s="25"/>
      <c r="M38" s="3">
        <f>IF(B36="",0,IF(B37=0,E35,IF((B37&gt;0)*(B37&lt;=0.01),F35,IF((B37&gt;0.01)*(B37&lt;=0.03),G35,IF(B37&gt;0.03,H35)))))</f>
        <v>0</v>
      </c>
      <c r="N38" t="s">
        <v>50</v>
      </c>
    </row>
    <row r="39" spans="1:14" ht="15" customHeight="1" x14ac:dyDescent="0.25">
      <c r="C39" s="203"/>
      <c r="D39" s="207"/>
      <c r="J39" s="167"/>
      <c r="K39" s="25"/>
      <c r="M39" s="3">
        <f>IF(B36="",0,IF(B35=0,E35,IF(B35=1,F35,IF(B35=2,G35,IF(B35&gt;2,H35)))))</f>
        <v>0</v>
      </c>
      <c r="N39" t="s">
        <v>51</v>
      </c>
    </row>
    <row r="40" spans="1:14" s="49" customFormat="1" x14ac:dyDescent="0.25">
      <c r="A40" s="179"/>
      <c r="B40" s="179"/>
      <c r="C40" s="204"/>
      <c r="D40" s="208"/>
      <c r="I40" s="183"/>
      <c r="J40" s="184"/>
      <c r="K40" s="184"/>
    </row>
    <row r="41" spans="1:14" ht="30" x14ac:dyDescent="0.25">
      <c r="A41" s="93" t="s">
        <v>69</v>
      </c>
      <c r="B41" s="93" t="s">
        <v>42</v>
      </c>
      <c r="C41" s="202"/>
      <c r="D41" s="207"/>
      <c r="E41" s="330" t="s">
        <v>25</v>
      </c>
      <c r="F41" s="330"/>
      <c r="G41" s="330"/>
      <c r="H41" s="330"/>
      <c r="I41" s="29"/>
    </row>
    <row r="42" spans="1:14" x14ac:dyDescent="0.25">
      <c r="A42" s="89" t="s">
        <v>188</v>
      </c>
      <c r="B42" s="64"/>
      <c r="C42" s="134"/>
      <c r="D42" s="207"/>
      <c r="E42" s="71">
        <v>50</v>
      </c>
      <c r="F42" s="71">
        <v>45</v>
      </c>
      <c r="G42" s="70">
        <v>40</v>
      </c>
      <c r="H42" s="70">
        <v>0</v>
      </c>
      <c r="I42" s="29"/>
      <c r="J42" s="25"/>
      <c r="K42" s="25"/>
    </row>
    <row r="43" spans="1:14" ht="15" customHeight="1" x14ac:dyDescent="0.25">
      <c r="A43" s="90" t="s">
        <v>156</v>
      </c>
      <c r="B43" s="64"/>
      <c r="C43" s="211"/>
      <c r="D43" s="207"/>
      <c r="E43" s="106" t="s">
        <v>70</v>
      </c>
      <c r="F43" s="106" t="s">
        <v>71</v>
      </c>
      <c r="G43" s="106" t="s">
        <v>72</v>
      </c>
      <c r="H43" s="70" t="s">
        <v>73</v>
      </c>
      <c r="I43" s="29"/>
      <c r="J43" s="25"/>
      <c r="K43" s="25"/>
    </row>
    <row r="44" spans="1:14" x14ac:dyDescent="0.25">
      <c r="A44" s="102" t="s">
        <v>220</v>
      </c>
      <c r="B44" s="218" t="str">
        <f>IF(B43=0,"",B42/B43)</f>
        <v/>
      </c>
      <c r="C44" s="48"/>
      <c r="D44" s="207"/>
      <c r="E44" s="110" t="s">
        <v>151</v>
      </c>
      <c r="F44" s="201" t="s">
        <v>217</v>
      </c>
      <c r="G44" s="111" t="s">
        <v>152</v>
      </c>
      <c r="H44" s="112" t="s">
        <v>154</v>
      </c>
      <c r="I44" s="29"/>
      <c r="M44" t="str">
        <f>IF(B43="","NA",IF(B44&gt;0.25,"CWIF","PASS"))</f>
        <v>NA</v>
      </c>
    </row>
    <row r="45" spans="1:14" x14ac:dyDescent="0.25">
      <c r="A45" s="100" t="s">
        <v>150</v>
      </c>
      <c r="B45" s="72">
        <f>IF(B44="",0,IF(B44&lt;=0.05,E42,IF((B44&gt;0.05)*(B44&lt;=0.15),F42,IF((B44&gt;0.15)*(B44&lt;=0.25),G42,IF(B44&gt;0.25,H42)))))</f>
        <v>0</v>
      </c>
      <c r="C45" s="203"/>
      <c r="D45" s="207"/>
      <c r="I45" s="29"/>
    </row>
    <row r="46" spans="1:14" x14ac:dyDescent="0.25">
      <c r="C46" s="203"/>
      <c r="D46" s="207"/>
      <c r="E46" s="117"/>
      <c r="F46" s="117"/>
      <c r="G46" s="117"/>
      <c r="H46" s="115"/>
      <c r="I46" s="29"/>
    </row>
    <row r="47" spans="1:14" ht="30" x14ac:dyDescent="0.25">
      <c r="A47" s="85" t="s">
        <v>76</v>
      </c>
      <c r="B47" s="85" t="s">
        <v>42</v>
      </c>
      <c r="C47" s="205"/>
      <c r="D47" s="207"/>
      <c r="E47" s="330" t="s">
        <v>25</v>
      </c>
      <c r="F47" s="330"/>
      <c r="G47" s="330"/>
      <c r="H47" s="330"/>
      <c r="I47" s="29"/>
      <c r="J47" s="25"/>
      <c r="K47" s="25"/>
    </row>
    <row r="48" spans="1:14" ht="30" x14ac:dyDescent="0.25">
      <c r="A48" s="212" t="s">
        <v>240</v>
      </c>
      <c r="B48" s="227"/>
      <c r="C48" s="48"/>
      <c r="D48" s="207"/>
      <c r="E48" s="71">
        <v>40</v>
      </c>
      <c r="F48" s="70">
        <v>30</v>
      </c>
      <c r="G48" s="70">
        <v>20</v>
      </c>
      <c r="H48" s="70">
        <v>0</v>
      </c>
      <c r="I48" s="29"/>
      <c r="J48" s="25"/>
      <c r="K48" s="25"/>
    </row>
    <row r="49" spans="1:14" ht="15.75" x14ac:dyDescent="0.25">
      <c r="A49" s="90" t="s">
        <v>221</v>
      </c>
      <c r="B49" s="228"/>
      <c r="C49" s="305" t="s">
        <v>47</v>
      </c>
      <c r="D49" s="305"/>
      <c r="E49" s="105">
        <v>0</v>
      </c>
      <c r="F49" s="106" t="s">
        <v>74</v>
      </c>
      <c r="G49" s="70" t="s">
        <v>75</v>
      </c>
      <c r="H49" s="70" t="s">
        <v>57</v>
      </c>
      <c r="I49" s="29"/>
      <c r="J49" s="25"/>
      <c r="K49" s="25"/>
    </row>
    <row r="50" spans="1:14" s="19" customFormat="1" ht="25.5" customHeight="1" x14ac:dyDescent="0.25">
      <c r="A50" s="253" t="s">
        <v>156</v>
      </c>
      <c r="B50" s="228"/>
      <c r="C50" s="347" t="s">
        <v>48</v>
      </c>
      <c r="D50" s="347"/>
      <c r="E50" s="187" t="s">
        <v>43</v>
      </c>
      <c r="F50" s="210" t="s">
        <v>46</v>
      </c>
      <c r="G50" s="186" t="s">
        <v>44</v>
      </c>
      <c r="H50" s="186" t="s">
        <v>45</v>
      </c>
      <c r="I50" s="249"/>
      <c r="J50" s="250"/>
      <c r="K50" s="251"/>
    </row>
    <row r="51" spans="1:14" x14ac:dyDescent="0.25">
      <c r="A51" s="102" t="s">
        <v>222</v>
      </c>
      <c r="B51" s="229" t="str">
        <f>IF(B50=0,"",B49/B50)</f>
        <v/>
      </c>
      <c r="E51" s="110" t="s">
        <v>151</v>
      </c>
      <c r="F51" s="111" t="s">
        <v>152</v>
      </c>
      <c r="G51" s="200" t="s">
        <v>153</v>
      </c>
      <c r="H51" s="112" t="s">
        <v>154</v>
      </c>
      <c r="I51" s="30"/>
      <c r="J51" s="33"/>
      <c r="K51" s="25"/>
      <c r="M51" t="str">
        <f>IF(B50="","NA",IF(((B48="Y")*(B52&gt;0)),"PASS",IF((B52&lt;30),"KWIF","PASS")))</f>
        <v>NA</v>
      </c>
    </row>
    <row r="52" spans="1:14" ht="25.5" customHeight="1" x14ac:dyDescent="0.25">
      <c r="A52" s="101" t="s">
        <v>157</v>
      </c>
      <c r="B52" s="188">
        <f>IF(B50&lt;100,M53,M52)</f>
        <v>0</v>
      </c>
      <c r="C52" s="372" t="s">
        <v>218</v>
      </c>
      <c r="D52" s="305"/>
      <c r="E52" s="110" t="s">
        <v>151</v>
      </c>
      <c r="F52" s="201" t="s">
        <v>217</v>
      </c>
      <c r="G52" s="111" t="s">
        <v>152</v>
      </c>
      <c r="H52" s="112" t="s">
        <v>154</v>
      </c>
      <c r="J52" s="167"/>
      <c r="K52" s="25"/>
      <c r="M52" s="3">
        <f>IF(B50="",0,IF(B51=0,E48,IF((B51&gt;0)*(B51&lt;=0.03),F48,IF((B51&gt;0.03)*(B51&lt;=0.05),G48,IF(B51&gt;0.05,H48)))))</f>
        <v>0</v>
      </c>
      <c r="N52" t="s">
        <v>50</v>
      </c>
    </row>
    <row r="53" spans="1:14" ht="15" customHeight="1" x14ac:dyDescent="0.25">
      <c r="J53" s="167"/>
      <c r="K53" s="25"/>
      <c r="M53" s="3">
        <f>IF(B50="",0,IF(B49=0,E48,IF(B49=1,F48,IF(B49=2,G48,IF(B49&gt;1,H48)))))</f>
        <v>0</v>
      </c>
      <c r="N53" t="s">
        <v>51</v>
      </c>
    </row>
    <row r="54" spans="1:14" x14ac:dyDescent="0.25">
      <c r="C54" s="8"/>
      <c r="E54" s="117"/>
      <c r="F54" s="117"/>
      <c r="G54" s="117"/>
      <c r="H54" s="115"/>
      <c r="I54" s="29"/>
    </row>
    <row r="55" spans="1:14" ht="30" x14ac:dyDescent="0.25">
      <c r="A55" s="85" t="s">
        <v>77</v>
      </c>
      <c r="B55" s="85" t="s">
        <v>42</v>
      </c>
      <c r="E55" s="335" t="s">
        <v>25</v>
      </c>
      <c r="F55" s="335"/>
      <c r="G55" s="335"/>
      <c r="H55" s="335"/>
    </row>
    <row r="56" spans="1:14" x14ac:dyDescent="0.25">
      <c r="A56" s="89" t="s">
        <v>223</v>
      </c>
      <c r="B56" s="62"/>
      <c r="C56" s="7"/>
      <c r="E56" s="214">
        <v>50</v>
      </c>
      <c r="F56" s="369">
        <v>40</v>
      </c>
      <c r="G56" s="370"/>
      <c r="H56" s="70">
        <v>0</v>
      </c>
      <c r="J56" s="25"/>
      <c r="K56" s="25"/>
    </row>
    <row r="57" spans="1:14" ht="15" customHeight="1" x14ac:dyDescent="0.25">
      <c r="A57" s="90" t="s">
        <v>156</v>
      </c>
      <c r="B57" s="64"/>
      <c r="C57" s="305" t="s">
        <v>225</v>
      </c>
      <c r="D57" s="306"/>
      <c r="E57" s="215">
        <v>1</v>
      </c>
      <c r="F57" s="367" t="s">
        <v>78</v>
      </c>
      <c r="G57" s="368"/>
      <c r="H57" s="186" t="s">
        <v>79</v>
      </c>
      <c r="J57" s="25"/>
      <c r="K57" s="25"/>
    </row>
    <row r="58" spans="1:14" ht="30" customHeight="1" x14ac:dyDescent="0.25">
      <c r="A58" s="102" t="s">
        <v>224</v>
      </c>
      <c r="B58" s="218" t="str">
        <f>IF(B57=0,"",B56/B57)</f>
        <v/>
      </c>
      <c r="C58" s="305" t="s">
        <v>226</v>
      </c>
      <c r="D58" s="306"/>
      <c r="E58" s="216" t="s">
        <v>227</v>
      </c>
      <c r="F58" s="365" t="s">
        <v>228</v>
      </c>
      <c r="G58" s="366"/>
      <c r="H58" s="217" t="s">
        <v>229</v>
      </c>
      <c r="M58" t="str">
        <f>IF(B57="NA","NA",IF(B57="","NA",IF(B59&lt;40,"CWIF","PASS")))</f>
        <v>NA</v>
      </c>
    </row>
    <row r="59" spans="1:14" x14ac:dyDescent="0.25">
      <c r="A59" s="101" t="s">
        <v>230</v>
      </c>
      <c r="B59" s="72">
        <f>IF(B57="NA",0,IF(B57="",0,IF(B57&lt;40,M60,M59)))</f>
        <v>0</v>
      </c>
      <c r="C59" s="8"/>
      <c r="E59" s="110" t="s">
        <v>151</v>
      </c>
      <c r="F59" s="363" t="s">
        <v>152</v>
      </c>
      <c r="G59" s="364"/>
      <c r="H59" s="112" t="s">
        <v>154</v>
      </c>
      <c r="M59" s="3">
        <f>IF(B57="NA",0,IF(B58="",0,IF(B58=1,E56,IF((B58&lt;1)*(B58&gt;=0.96),F56,IF(B58&lt;0.96,G56)))))</f>
        <v>0</v>
      </c>
      <c r="N59" t="s">
        <v>50</v>
      </c>
    </row>
    <row r="60" spans="1:14" ht="27.75" customHeight="1" x14ac:dyDescent="0.25">
      <c r="A60" s="362" t="s">
        <v>231</v>
      </c>
      <c r="B60" s="362"/>
      <c r="C60" s="362"/>
      <c r="D60" s="362"/>
      <c r="E60" s="362"/>
      <c r="F60" s="362"/>
      <c r="G60" s="362"/>
      <c r="H60" s="362"/>
      <c r="M60" s="3">
        <f>IF(B58="NA",0,IF(B57="",0,IF(((B57-B56)=0),E56,IF(((B57-B56)=1),F56,IF(((B57-B56)&gt;1),H56)))))</f>
        <v>0</v>
      </c>
      <c r="N60" t="s">
        <v>51</v>
      </c>
    </row>
    <row r="61" spans="1:14" ht="15" customHeight="1" x14ac:dyDescent="0.25">
      <c r="J61" s="167"/>
      <c r="K61" s="25"/>
    </row>
    <row r="62" spans="1:14" ht="30" x14ac:dyDescent="0.25">
      <c r="A62" s="85" t="s">
        <v>80</v>
      </c>
      <c r="B62" s="85" t="s">
        <v>42</v>
      </c>
      <c r="G62" s="335" t="s">
        <v>25</v>
      </c>
      <c r="H62" s="335"/>
      <c r="I62" s="29"/>
    </row>
    <row r="63" spans="1:14" x14ac:dyDescent="0.25">
      <c r="A63" s="89" t="s">
        <v>232</v>
      </c>
      <c r="B63" s="62"/>
      <c r="C63" s="104"/>
      <c r="D63" s="104"/>
      <c r="E63" s="104"/>
      <c r="F63" s="104"/>
      <c r="G63" s="214">
        <v>50</v>
      </c>
      <c r="H63" s="70">
        <v>0</v>
      </c>
      <c r="I63" s="29"/>
      <c r="J63" s="25"/>
      <c r="K63" s="25"/>
    </row>
    <row r="64" spans="1:14" ht="15" customHeight="1" x14ac:dyDescent="0.25">
      <c r="A64" s="90" t="s">
        <v>156</v>
      </c>
      <c r="B64" s="64"/>
      <c r="C64" s="47"/>
      <c r="D64" s="377"/>
      <c r="E64" s="377"/>
      <c r="F64" s="220"/>
      <c r="G64" s="215">
        <v>1</v>
      </c>
      <c r="H64" s="186" t="s">
        <v>81</v>
      </c>
      <c r="I64" s="29"/>
      <c r="J64" s="25"/>
      <c r="K64" s="25"/>
    </row>
    <row r="65" spans="1:14" x14ac:dyDescent="0.25">
      <c r="A65" s="102" t="s">
        <v>233</v>
      </c>
      <c r="B65" s="218" t="str">
        <f>IF(B64=0,"",B63/B64)</f>
        <v/>
      </c>
      <c r="C65" s="48"/>
      <c r="D65" s="135"/>
      <c r="E65" s="131"/>
      <c r="F65" s="136"/>
      <c r="G65" s="111" t="s">
        <v>152</v>
      </c>
      <c r="H65" s="112" t="s">
        <v>154</v>
      </c>
      <c r="I65" s="29"/>
      <c r="M65" t="str">
        <f>IF(B65="","NA",IF(B65&lt;0.96,"CWIF","PASS"))</f>
        <v>NA</v>
      </c>
    </row>
    <row r="66" spans="1:14" x14ac:dyDescent="0.25">
      <c r="A66" s="101" t="s">
        <v>174</v>
      </c>
      <c r="B66" s="72">
        <f>IF(B64="",0,IF(B65=1,G63,IF(B65&lt;1,H63)))</f>
        <v>0</v>
      </c>
      <c r="C66" s="47"/>
      <c r="D66" s="222"/>
      <c r="E66" s="132"/>
      <c r="F66" s="136"/>
      <c r="G66" s="4"/>
      <c r="H66" s="29"/>
      <c r="I66" s="29"/>
    </row>
    <row r="67" spans="1:14" ht="15" customHeight="1" x14ac:dyDescent="0.25">
      <c r="C67" s="48"/>
      <c r="D67" s="133"/>
      <c r="E67" s="133"/>
      <c r="F67" s="48"/>
      <c r="J67" s="167"/>
      <c r="K67" s="25"/>
      <c r="M67" s="45"/>
    </row>
    <row r="68" spans="1:14" ht="54" x14ac:dyDescent="0.25">
      <c r="A68" s="301" t="s">
        <v>82</v>
      </c>
      <c r="B68" s="301"/>
      <c r="C68" s="301"/>
      <c r="D68" s="85" t="s">
        <v>38</v>
      </c>
      <c r="E68" s="223"/>
      <c r="F68" s="310" t="s">
        <v>25</v>
      </c>
      <c r="G68" s="310"/>
      <c r="H68" s="310"/>
      <c r="I68" s="29"/>
      <c r="J68" s="21"/>
    </row>
    <row r="69" spans="1:14" ht="30" customHeight="1" x14ac:dyDescent="0.25">
      <c r="A69" s="331" t="s">
        <v>171</v>
      </c>
      <c r="B69" s="331"/>
      <c r="C69" s="331"/>
      <c r="D69" s="276"/>
      <c r="E69" s="131"/>
      <c r="F69" s="186">
        <v>50</v>
      </c>
      <c r="G69" s="186">
        <v>0</v>
      </c>
      <c r="H69" s="186" t="s">
        <v>15</v>
      </c>
      <c r="I69" s="29"/>
      <c r="M69" t="str">
        <f>IF(D69="","NA",IF(D69="N","CWIF","PASS"))</f>
        <v>NA</v>
      </c>
    </row>
    <row r="70" spans="1:14" x14ac:dyDescent="0.25">
      <c r="A70" s="380" t="s">
        <v>234</v>
      </c>
      <c r="B70" s="380"/>
      <c r="C70" s="380"/>
      <c r="D70" s="69">
        <f>IF(D69="Y",F69,IF(D69="N",0,IF(D69="NA","",IF(D69="",0))))</f>
        <v>0</v>
      </c>
      <c r="E70" s="132"/>
      <c r="F70" s="70" t="s">
        <v>16</v>
      </c>
      <c r="G70" s="106" t="s">
        <v>17</v>
      </c>
      <c r="H70" s="70" t="s">
        <v>39</v>
      </c>
      <c r="I70" s="29"/>
      <c r="J70" s="34"/>
    </row>
    <row r="71" spans="1:14" ht="15" customHeight="1" x14ac:dyDescent="0.25">
      <c r="A71" s="378" t="s">
        <v>172</v>
      </c>
      <c r="B71" s="378"/>
      <c r="C71" s="378"/>
      <c r="D71" s="378"/>
      <c r="E71" s="379"/>
      <c r="F71" s="111" t="s">
        <v>152</v>
      </c>
      <c r="G71" s="112" t="s">
        <v>154</v>
      </c>
      <c r="H71" s="68" t="s">
        <v>173</v>
      </c>
      <c r="J71" s="167"/>
      <c r="K71" s="25"/>
      <c r="M71" s="3">
        <f>IF(D68="",0,IF(D68=0,E66,IF(D68=1,F66,IF(D68=2,G66,IF(D68&gt;1,H66)))))</f>
        <v>0</v>
      </c>
      <c r="N71" t="s">
        <v>51</v>
      </c>
    </row>
    <row r="72" spans="1:14" ht="15" customHeight="1" x14ac:dyDescent="0.25">
      <c r="F72" s="120"/>
      <c r="G72" s="121"/>
      <c r="H72" s="224"/>
      <c r="J72" s="167"/>
      <c r="K72" s="25"/>
      <c r="M72" s="3"/>
    </row>
    <row r="73" spans="1:14" ht="41.25" x14ac:dyDescent="0.25">
      <c r="A73" s="301" t="s">
        <v>83</v>
      </c>
      <c r="B73" s="301"/>
      <c r="C73" s="301"/>
      <c r="D73" s="85" t="s">
        <v>19</v>
      </c>
      <c r="E73" s="7"/>
      <c r="F73"/>
      <c r="G73"/>
      <c r="H73" s="29"/>
      <c r="I73" s="29"/>
    </row>
    <row r="74" spans="1:14" x14ac:dyDescent="0.25">
      <c r="A74" s="371" t="s">
        <v>67</v>
      </c>
      <c r="B74" s="371"/>
      <c r="C74" s="371"/>
      <c r="D74" s="226"/>
      <c r="E74" s="14" t="s">
        <v>1</v>
      </c>
      <c r="F74" s="4"/>
      <c r="G74" s="4"/>
      <c r="H74" s="29"/>
      <c r="I74" s="29"/>
      <c r="K74" s="29"/>
      <c r="M74" t="str">
        <f>IF(D74="","NA",IF(D74="Y","CWIF","PASS"))</f>
        <v>NA</v>
      </c>
    </row>
    <row r="75" spans="1:14" x14ac:dyDescent="0.25">
      <c r="A75" s="194"/>
      <c r="B75" s="194"/>
      <c r="C75" s="194"/>
      <c r="D75" s="241"/>
      <c r="E75" s="14"/>
      <c r="F75" s="4"/>
      <c r="G75" s="4"/>
      <c r="H75" s="29"/>
      <c r="I75" s="29"/>
      <c r="K75" s="29"/>
    </row>
    <row r="76" spans="1:14" x14ac:dyDescent="0.25">
      <c r="C76" s="4"/>
      <c r="D76" s="4"/>
      <c r="E76" s="4"/>
      <c r="F76" s="4"/>
      <c r="G76" s="4"/>
      <c r="H76" s="29"/>
      <c r="I76" s="29"/>
    </row>
    <row r="77" spans="1:14" ht="15.75" customHeight="1" x14ac:dyDescent="0.25">
      <c r="A77" s="85" t="s">
        <v>175</v>
      </c>
      <c r="B77" s="172" t="s">
        <v>0</v>
      </c>
      <c r="C77" s="172" t="s">
        <v>25</v>
      </c>
      <c r="D77" s="302" t="s">
        <v>273</v>
      </c>
      <c r="E77" s="302"/>
      <c r="F77" s="4"/>
      <c r="G77" s="4"/>
      <c r="H77" s="4"/>
      <c r="I77" s="4"/>
      <c r="J77"/>
      <c r="K77"/>
    </row>
    <row r="78" spans="1:14" x14ac:dyDescent="0.25">
      <c r="A78" s="139" t="s">
        <v>176</v>
      </c>
      <c r="B78" s="72">
        <f>G22</f>
        <v>0</v>
      </c>
      <c r="C78" s="161">
        <v>50</v>
      </c>
      <c r="D78" s="296" t="s">
        <v>115</v>
      </c>
      <c r="E78" s="296"/>
      <c r="F78" s="4"/>
      <c r="G78" s="4"/>
      <c r="H78" s="4"/>
      <c r="I78" s="4"/>
      <c r="J78"/>
      <c r="K78"/>
    </row>
    <row r="79" spans="1:14" x14ac:dyDescent="0.25">
      <c r="A79" s="93" t="s">
        <v>177</v>
      </c>
      <c r="B79" s="69">
        <f>G29</f>
        <v>0</v>
      </c>
      <c r="C79" s="163">
        <v>40</v>
      </c>
      <c r="D79" s="361" t="s">
        <v>115</v>
      </c>
      <c r="E79" s="361"/>
      <c r="F79" s="4"/>
      <c r="G79" s="4"/>
      <c r="H79" s="4"/>
      <c r="I79" s="4"/>
      <c r="J79"/>
      <c r="K79"/>
    </row>
    <row r="80" spans="1:14" x14ac:dyDescent="0.25">
      <c r="A80" s="144" t="s">
        <v>235</v>
      </c>
      <c r="B80" s="153">
        <f>G32</f>
        <v>0</v>
      </c>
      <c r="C80" s="163">
        <v>50</v>
      </c>
      <c r="D80" s="355" t="str">
        <f>IF(M31="PASS","Pass",IF(M31="CWIF","Fail",""))</f>
        <v/>
      </c>
      <c r="E80" s="356"/>
      <c r="F80" s="4"/>
      <c r="G80" s="4"/>
      <c r="H80" s="4"/>
      <c r="I80" s="4"/>
      <c r="J80"/>
      <c r="K80"/>
    </row>
    <row r="81" spans="1:11" x14ac:dyDescent="0.25">
      <c r="A81" s="143" t="s">
        <v>179</v>
      </c>
      <c r="B81" s="69">
        <f>B38</f>
        <v>0</v>
      </c>
      <c r="C81" s="163">
        <v>40</v>
      </c>
      <c r="D81" s="355" t="str">
        <f>IF(M44="PASS","Pass",IF(M44="KWIF","Fail",""))</f>
        <v/>
      </c>
      <c r="E81" s="356"/>
      <c r="F81" s="4"/>
      <c r="G81" s="4"/>
      <c r="H81" s="4"/>
      <c r="I81" s="4"/>
      <c r="J81"/>
      <c r="K81"/>
    </row>
    <row r="82" spans="1:11" x14ac:dyDescent="0.25">
      <c r="A82" s="144" t="s">
        <v>236</v>
      </c>
      <c r="B82" s="69">
        <f>B45</f>
        <v>0</v>
      </c>
      <c r="C82" s="163">
        <v>50</v>
      </c>
      <c r="D82" s="355" t="str">
        <f>IF(M44="PASS","Pass",IF(M44="CWIF","Fail",""))</f>
        <v/>
      </c>
      <c r="E82" s="356"/>
      <c r="F82" s="4"/>
      <c r="G82" s="4"/>
      <c r="H82" s="4"/>
      <c r="I82" s="4"/>
      <c r="J82"/>
      <c r="K82"/>
    </row>
    <row r="83" spans="1:11" x14ac:dyDescent="0.25">
      <c r="A83" s="143" t="s">
        <v>237</v>
      </c>
      <c r="B83" s="69">
        <f>B52</f>
        <v>0</v>
      </c>
      <c r="C83" s="163">
        <v>40</v>
      </c>
      <c r="D83" s="355" t="str">
        <f>IF(M51="PASS","Pass",IF(M51="kWIF","Fail",""))</f>
        <v/>
      </c>
      <c r="E83" s="356"/>
      <c r="F83" s="4"/>
      <c r="G83" s="4"/>
      <c r="H83" s="4"/>
      <c r="I83" s="4"/>
      <c r="J83"/>
      <c r="K83"/>
    </row>
    <row r="84" spans="1:11" x14ac:dyDescent="0.25">
      <c r="A84" s="144" t="s">
        <v>238</v>
      </c>
      <c r="B84" s="69">
        <f>B59</f>
        <v>0</v>
      </c>
      <c r="C84" s="163">
        <f>IF(B57="NA",0,50)</f>
        <v>50</v>
      </c>
      <c r="D84" s="355" t="str">
        <f>IF(M58="PASS","Pass",IF(M58="CWIF","Fail",""))</f>
        <v/>
      </c>
      <c r="E84" s="356"/>
      <c r="F84" s="4"/>
      <c r="G84" s="4"/>
      <c r="H84" s="4"/>
      <c r="I84" s="4"/>
      <c r="J84"/>
      <c r="K84"/>
    </row>
    <row r="85" spans="1:11" x14ac:dyDescent="0.25">
      <c r="A85" s="144" t="s">
        <v>183</v>
      </c>
      <c r="B85" s="69">
        <f>B66</f>
        <v>0</v>
      </c>
      <c r="C85" s="163">
        <v>50</v>
      </c>
      <c r="D85" s="355" t="str">
        <f>IF(B65=1,"Pass",(IF(B65&lt;1,"Fail",IF(B64="",""))))</f>
        <v/>
      </c>
      <c r="E85" s="356"/>
      <c r="F85" s="4"/>
      <c r="G85" s="4"/>
      <c r="H85" s="4"/>
      <c r="I85" s="4"/>
      <c r="J85"/>
      <c r="K85"/>
    </row>
    <row r="86" spans="1:11" x14ac:dyDescent="0.25">
      <c r="A86" s="144" t="s">
        <v>184</v>
      </c>
      <c r="B86" s="69">
        <f>D70</f>
        <v>0</v>
      </c>
      <c r="C86" s="163">
        <f>IF(D69="NA",0, 50)</f>
        <v>50</v>
      </c>
      <c r="D86" s="355" t="str">
        <f>IF(D69="Y","Pass",(IF(D69="N","Fail",(IF(D69="NA","n/a","")))))</f>
        <v/>
      </c>
      <c r="E86" s="356"/>
      <c r="F86" s="4"/>
      <c r="G86" s="4"/>
      <c r="H86" s="4"/>
      <c r="I86" s="4"/>
      <c r="J86"/>
      <c r="K86"/>
    </row>
    <row r="87" spans="1:11" x14ac:dyDescent="0.25">
      <c r="A87" s="145" t="s">
        <v>239</v>
      </c>
      <c r="B87" s="78" t="s">
        <v>115</v>
      </c>
      <c r="C87" s="147" t="s">
        <v>115</v>
      </c>
      <c r="D87" s="357" t="str">
        <f>IF(D74="Y","Fail",(IF(D74="N","Pass","")))</f>
        <v/>
      </c>
      <c r="E87" s="358"/>
      <c r="F87" s="4"/>
      <c r="G87" s="4"/>
      <c r="H87" s="4"/>
      <c r="I87" s="4"/>
      <c r="J87"/>
      <c r="K87"/>
    </row>
    <row r="88" spans="1:11" x14ac:dyDescent="0.25">
      <c r="A88" s="101" t="s">
        <v>185</v>
      </c>
      <c r="B88" s="3">
        <f>SUM(G12:G21,G25:G28,G32,B38,B45,B52,B59,B66,D70)</f>
        <v>0</v>
      </c>
      <c r="C88" s="158">
        <f>SUM(C78:C87)</f>
        <v>420</v>
      </c>
      <c r="D88" s="296" t="s">
        <v>115</v>
      </c>
      <c r="E88" s="296"/>
      <c r="F88" s="4"/>
      <c r="G88" s="4"/>
      <c r="H88" s="4"/>
      <c r="I88" s="4"/>
      <c r="J88"/>
      <c r="K88"/>
    </row>
    <row r="89" spans="1:11" x14ac:dyDescent="0.25">
      <c r="C89" s="4"/>
      <c r="D89" s="4"/>
      <c r="E89" s="4"/>
      <c r="F89" s="4"/>
      <c r="G89" s="4"/>
      <c r="H89" s="29"/>
      <c r="I89" s="29"/>
    </row>
    <row r="90" spans="1:11" ht="15" customHeight="1" x14ac:dyDescent="0.25">
      <c r="A90" s="98" t="s">
        <v>186</v>
      </c>
      <c r="B90" s="230">
        <f>B88/C88</f>
        <v>0</v>
      </c>
      <c r="C90" s="359" t="s">
        <v>275</v>
      </c>
      <c r="D90" s="360"/>
      <c r="E90" s="360"/>
      <c r="F90" s="360"/>
      <c r="G90" s="360"/>
      <c r="H90" s="360"/>
      <c r="I90" s="360"/>
      <c r="J90"/>
      <c r="K90"/>
    </row>
    <row r="91" spans="1:11" ht="30" customHeight="1" x14ac:dyDescent="0.25">
      <c r="A91" s="100" t="s">
        <v>187</v>
      </c>
      <c r="B91" s="160" t="str">
        <f>IF(COUNTIF(M:M,"KWIF")&gt;1,"FAIL",IF(COUNTIF(M:M,"CWIF"),"FAIL",IF(((B57="NA")*(B90&gt;=0.85)),"PASS",IF(((B57="NA")*(B90&lt;0.86)),"FAIL",IF(B90&gt;=0.91,"PASS",IF(B90&lt;0.91,"FAIL"))))))</f>
        <v>FAIL</v>
      </c>
      <c r="C91" s="359"/>
      <c r="D91" s="360"/>
      <c r="E91" s="360"/>
      <c r="F91" s="360"/>
      <c r="G91" s="360"/>
      <c r="H91" s="360"/>
      <c r="I91" s="360"/>
      <c r="J91"/>
      <c r="K91"/>
    </row>
    <row r="92" spans="1:11" x14ac:dyDescent="0.25">
      <c r="C92" s="4"/>
      <c r="D92" s="4"/>
      <c r="E92" s="4"/>
      <c r="F92" s="4"/>
      <c r="G92" s="4"/>
      <c r="H92" s="4"/>
      <c r="I92" s="4"/>
      <c r="J92" s="1"/>
      <c r="K92" s="1"/>
    </row>
    <row r="93" spans="1:11" x14ac:dyDescent="0.25">
      <c r="A93" s="1" t="s">
        <v>105</v>
      </c>
      <c r="K93" s="1"/>
    </row>
    <row r="94" spans="1:11" x14ac:dyDescent="0.25">
      <c r="A94" s="297"/>
      <c r="B94" s="297"/>
      <c r="C94" s="297"/>
      <c r="D94" s="297"/>
      <c r="E94" s="297"/>
      <c r="F94" s="297"/>
      <c r="G94" s="297"/>
      <c r="H94" s="297"/>
      <c r="I94" s="297"/>
      <c r="K94" s="1"/>
    </row>
    <row r="95" spans="1:11" x14ac:dyDescent="0.25">
      <c r="A95" s="297"/>
      <c r="B95" s="297"/>
      <c r="C95" s="297"/>
      <c r="D95" s="297"/>
      <c r="E95" s="297"/>
      <c r="F95" s="297"/>
      <c r="G95" s="297"/>
      <c r="H95" s="297"/>
      <c r="I95" s="297"/>
      <c r="K95" s="1"/>
    </row>
    <row r="96" spans="1:11" x14ac:dyDescent="0.25">
      <c r="A96" s="297"/>
      <c r="B96" s="297"/>
      <c r="C96" s="297"/>
      <c r="D96" s="297"/>
      <c r="E96" s="297"/>
      <c r="F96" s="297"/>
      <c r="G96" s="297"/>
      <c r="H96" s="297"/>
      <c r="I96" s="297"/>
      <c r="K96" s="1"/>
    </row>
  </sheetData>
  <mergeCells count="70">
    <mergeCell ref="A74:C74"/>
    <mergeCell ref="A73:C73"/>
    <mergeCell ref="E3:I3"/>
    <mergeCell ref="A4:D4"/>
    <mergeCell ref="A8:D8"/>
    <mergeCell ref="E8:H8"/>
    <mergeCell ref="A9:D9"/>
    <mergeCell ref="E9:H9"/>
    <mergeCell ref="A21:E21"/>
    <mergeCell ref="A20:E20"/>
    <mergeCell ref="A19:E19"/>
    <mergeCell ref="A18:E18"/>
    <mergeCell ref="A17:E17"/>
    <mergeCell ref="A16:E16"/>
    <mergeCell ref="A15:E15"/>
    <mergeCell ref="E55:H55"/>
    <mergeCell ref="D64:E64"/>
    <mergeCell ref="F68:H68"/>
    <mergeCell ref="A71:E71"/>
    <mergeCell ref="A70:C70"/>
    <mergeCell ref="A69:C69"/>
    <mergeCell ref="A68:C68"/>
    <mergeCell ref="A11:E11"/>
    <mergeCell ref="A1:I1"/>
    <mergeCell ref="A6:D6"/>
    <mergeCell ref="E6:H6"/>
    <mergeCell ref="A7:D7"/>
    <mergeCell ref="E7:H7"/>
    <mergeCell ref="A25:E25"/>
    <mergeCell ref="A14:E14"/>
    <mergeCell ref="A13:E13"/>
    <mergeCell ref="A12:E12"/>
    <mergeCell ref="A22:F22"/>
    <mergeCell ref="F56:G56"/>
    <mergeCell ref="A29:F29"/>
    <mergeCell ref="A24:E24"/>
    <mergeCell ref="A32:E32"/>
    <mergeCell ref="A31:E31"/>
    <mergeCell ref="C52:D52"/>
    <mergeCell ref="C37:D37"/>
    <mergeCell ref="C36:D36"/>
    <mergeCell ref="E34:H34"/>
    <mergeCell ref="E41:H41"/>
    <mergeCell ref="E47:H47"/>
    <mergeCell ref="C50:D50"/>
    <mergeCell ref="C49:D49"/>
    <mergeCell ref="A28:E28"/>
    <mergeCell ref="A27:E27"/>
    <mergeCell ref="A26:E26"/>
    <mergeCell ref="C58:D58"/>
    <mergeCell ref="C57:D57"/>
    <mergeCell ref="A60:H60"/>
    <mergeCell ref="G62:H62"/>
    <mergeCell ref="F59:G59"/>
    <mergeCell ref="F58:G58"/>
    <mergeCell ref="F57:G57"/>
    <mergeCell ref="D77:E77"/>
    <mergeCell ref="D78:E78"/>
    <mergeCell ref="D79:E79"/>
    <mergeCell ref="D80:E80"/>
    <mergeCell ref="D81:E81"/>
    <mergeCell ref="D88:E88"/>
    <mergeCell ref="D86:E86"/>
    <mergeCell ref="A94:I96"/>
    <mergeCell ref="D82:E82"/>
    <mergeCell ref="D83:E83"/>
    <mergeCell ref="D84:E84"/>
    <mergeCell ref="D85:E85"/>
    <mergeCell ref="D87:E87"/>
    <mergeCell ref="C90:I91"/>
  </mergeCells>
  <conditionalFormatting sqref="B37">
    <cfRule type="expression" dxfId="54" priority="22">
      <formula>$M$37="KWIF"</formula>
    </cfRule>
  </conditionalFormatting>
  <conditionalFormatting sqref="B51">
    <cfRule type="expression" dxfId="53" priority="21">
      <formula>$M$51="KWIF"</formula>
    </cfRule>
  </conditionalFormatting>
  <conditionalFormatting sqref="B65">
    <cfRule type="cellIs" dxfId="52" priority="19" operator="lessThan">
      <formula>1</formula>
    </cfRule>
  </conditionalFormatting>
  <conditionalFormatting sqref="D69">
    <cfRule type="endsWith" dxfId="51" priority="32" operator="endsWith" text="N">
      <formula>RIGHT(D69,LEN("N"))="N"</formula>
    </cfRule>
  </conditionalFormatting>
  <conditionalFormatting sqref="D74:D75">
    <cfRule type="containsText" dxfId="50" priority="29" operator="containsText" text="Y">
      <formula>NOT(ISERROR(SEARCH("Y",D74)))</formula>
    </cfRule>
  </conditionalFormatting>
  <conditionalFormatting sqref="B91">
    <cfRule type="containsText" dxfId="49" priority="27" operator="containsText" text="PASS">
      <formula>NOT(ISERROR(SEARCH("PASS",B91)))</formula>
    </cfRule>
    <cfRule type="containsText" dxfId="48" priority="28" operator="containsText" text="FAIL">
      <formula>NOT(ISERROR(SEARCH("FAIL",B91)))</formula>
    </cfRule>
  </conditionalFormatting>
  <conditionalFormatting sqref="D80:E80 D82 D84:E87">
    <cfRule type="cellIs" dxfId="47" priority="7" operator="equal">
      <formula>"Fail"</formula>
    </cfRule>
  </conditionalFormatting>
  <conditionalFormatting sqref="D80:E87">
    <cfRule type="cellIs" dxfId="46" priority="4" operator="equal">
      <formula>"Pass"</formula>
    </cfRule>
  </conditionalFormatting>
  <conditionalFormatting sqref="D81:E81 D83:E83">
    <cfRule type="cellIs" dxfId="45" priority="3" operator="equal">
      <formula>"Fail"</formula>
    </cfRule>
  </conditionalFormatting>
  <conditionalFormatting sqref="B44">
    <cfRule type="expression" dxfId="44" priority="2">
      <formula>$M$44="CWIF"</formula>
    </cfRule>
  </conditionalFormatting>
  <conditionalFormatting sqref="B58">
    <cfRule type="expression" dxfId="43" priority="1">
      <formula>$M$58="CWIF"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902A1-19B6-4C28-ABC6-C80E81613EC2}">
  <dimension ref="A1:N96"/>
  <sheetViews>
    <sheetView showGridLines="0" zoomScaleNormal="10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7" width="15.140625" style="1" customWidth="1"/>
    <col min="8" max="11" width="15.140625" style="27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2" spans="1:13" x14ac:dyDescent="0.25">
      <c r="H2" s="1"/>
      <c r="I2" s="1"/>
      <c r="J2" s="1"/>
      <c r="K2" s="1"/>
    </row>
    <row r="3" spans="1:13" s="17" customFormat="1" x14ac:dyDescent="0.25">
      <c r="A3" s="2" t="s">
        <v>103</v>
      </c>
      <c r="B3" s="15"/>
      <c r="C3" s="2"/>
      <c r="D3" s="2"/>
      <c r="E3" s="329" t="s">
        <v>61</v>
      </c>
      <c r="F3" s="329"/>
      <c r="G3" s="329"/>
      <c r="H3" s="329"/>
      <c r="I3" s="329"/>
      <c r="J3" s="31"/>
      <c r="K3" s="35"/>
    </row>
    <row r="4" spans="1:13" s="25" customFormat="1" ht="42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7" t="s">
        <v>59</v>
      </c>
      <c r="I4" s="26" t="s">
        <v>60</v>
      </c>
      <c r="J4" s="21"/>
    </row>
    <row r="5" spans="1:13" s="17" customFormat="1" x14ac:dyDescent="0.25">
      <c r="A5" s="2"/>
      <c r="B5" s="2"/>
      <c r="C5" s="15"/>
      <c r="D5" s="2"/>
      <c r="E5" s="2"/>
      <c r="F5" s="169"/>
      <c r="G5" s="169"/>
      <c r="H5" s="169"/>
      <c r="I5" s="169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200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81" t="s">
        <v>201</v>
      </c>
      <c r="F8" s="382"/>
      <c r="G8" s="382"/>
      <c r="H8" s="383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81" t="s">
        <v>202</v>
      </c>
      <c r="F9" s="382"/>
      <c r="G9" s="382"/>
      <c r="H9" s="383"/>
      <c r="I9"/>
      <c r="J9"/>
      <c r="K9"/>
    </row>
    <row r="10" spans="1:13" x14ac:dyDescent="0.25">
      <c r="A10" s="19"/>
      <c r="B10" s="9"/>
      <c r="C10" s="20"/>
      <c r="D10" s="9"/>
      <c r="E10" s="9"/>
      <c r="I10" s="21"/>
      <c r="J10" s="21"/>
      <c r="K10" s="25"/>
    </row>
    <row r="11" spans="1:13" ht="42.75" customHeight="1" x14ac:dyDescent="0.25">
      <c r="A11" s="374" t="s">
        <v>134</v>
      </c>
      <c r="B11" s="375"/>
      <c r="C11" s="375"/>
      <c r="D11" s="375"/>
      <c r="E11" s="376"/>
      <c r="F11" s="85" t="s">
        <v>19</v>
      </c>
      <c r="G11" s="190" t="s">
        <v>0</v>
      </c>
      <c r="H11" s="88" t="s">
        <v>25</v>
      </c>
      <c r="I11" s="29"/>
      <c r="J11" s="25"/>
      <c r="K11" s="25"/>
      <c r="M11" t="s">
        <v>41</v>
      </c>
    </row>
    <row r="12" spans="1:13" ht="32.25" customHeight="1" x14ac:dyDescent="0.25">
      <c r="A12" s="373" t="s">
        <v>203</v>
      </c>
      <c r="B12" s="373"/>
      <c r="C12" s="373"/>
      <c r="D12" s="373"/>
      <c r="E12" s="373"/>
      <c r="F12" s="238"/>
      <c r="G12" s="188">
        <f>IF(F12="Y",H12,IF(F12="N",0,IF(F12="",0)))</f>
        <v>0</v>
      </c>
      <c r="H12" s="189">
        <v>5</v>
      </c>
      <c r="I12" s="29"/>
    </row>
    <row r="13" spans="1:13" ht="15" customHeight="1" x14ac:dyDescent="0.25">
      <c r="A13" s="334" t="s">
        <v>204</v>
      </c>
      <c r="B13" s="334"/>
      <c r="C13" s="334"/>
      <c r="D13" s="334"/>
      <c r="E13" s="334"/>
      <c r="F13" s="239"/>
      <c r="G13" s="185">
        <f t="shared" ref="G13:G28" si="0">IF(F13="Y",H13,IF(F13="N",0,IF(F13="",0)))</f>
        <v>0</v>
      </c>
      <c r="H13" s="186">
        <v>5</v>
      </c>
      <c r="I13" s="29"/>
    </row>
    <row r="14" spans="1:13" ht="15" customHeight="1" x14ac:dyDescent="0.25">
      <c r="A14" s="334" t="s">
        <v>205</v>
      </c>
      <c r="B14" s="334"/>
      <c r="C14" s="334"/>
      <c r="D14" s="334"/>
      <c r="E14" s="334"/>
      <c r="F14" s="239"/>
      <c r="G14" s="185">
        <f t="shared" si="0"/>
        <v>0</v>
      </c>
      <c r="H14" s="186">
        <v>5</v>
      </c>
      <c r="I14" s="29"/>
    </row>
    <row r="15" spans="1:13" ht="15" customHeight="1" x14ac:dyDescent="0.25">
      <c r="A15" s="334" t="s">
        <v>206</v>
      </c>
      <c r="B15" s="334"/>
      <c r="C15" s="334"/>
      <c r="D15" s="334"/>
      <c r="E15" s="334"/>
      <c r="F15" s="239"/>
      <c r="G15" s="185">
        <f t="shared" si="0"/>
        <v>0</v>
      </c>
      <c r="H15" s="186">
        <v>5</v>
      </c>
      <c r="I15" s="29"/>
    </row>
    <row r="16" spans="1:13" ht="32.25" customHeight="1" x14ac:dyDescent="0.25">
      <c r="A16" s="334" t="s">
        <v>207</v>
      </c>
      <c r="B16" s="334"/>
      <c r="C16" s="334"/>
      <c r="D16" s="334"/>
      <c r="E16" s="334"/>
      <c r="F16" s="239"/>
      <c r="G16" s="185">
        <f t="shared" si="0"/>
        <v>0</v>
      </c>
      <c r="H16" s="186">
        <v>5</v>
      </c>
      <c r="I16" s="29"/>
    </row>
    <row r="17" spans="1:13" x14ac:dyDescent="0.25">
      <c r="A17" s="334" t="s">
        <v>208</v>
      </c>
      <c r="B17" s="334"/>
      <c r="C17" s="334"/>
      <c r="D17" s="334"/>
      <c r="E17" s="334"/>
      <c r="F17" s="239"/>
      <c r="G17" s="185">
        <f t="shared" si="0"/>
        <v>0</v>
      </c>
      <c r="H17" s="186">
        <v>5</v>
      </c>
      <c r="I17" s="29"/>
      <c r="L17" s="4"/>
    </row>
    <row r="18" spans="1:13" ht="15" customHeight="1" x14ac:dyDescent="0.25">
      <c r="A18" s="334" t="s">
        <v>209</v>
      </c>
      <c r="B18" s="334"/>
      <c r="C18" s="334"/>
      <c r="D18" s="334"/>
      <c r="E18" s="334"/>
      <c r="F18" s="239"/>
      <c r="G18" s="185">
        <f t="shared" si="0"/>
        <v>0</v>
      </c>
      <c r="H18" s="186">
        <v>5</v>
      </c>
      <c r="I18" s="29"/>
      <c r="L18" s="4"/>
    </row>
    <row r="19" spans="1:13" ht="15" customHeight="1" x14ac:dyDescent="0.25">
      <c r="A19" s="334" t="s">
        <v>210</v>
      </c>
      <c r="B19" s="334"/>
      <c r="C19" s="334"/>
      <c r="D19" s="334"/>
      <c r="E19" s="334"/>
      <c r="F19" s="239"/>
      <c r="G19" s="185">
        <f t="shared" si="0"/>
        <v>0</v>
      </c>
      <c r="H19" s="186">
        <v>5</v>
      </c>
      <c r="I19" s="29"/>
    </row>
    <row r="20" spans="1:13" s="13" customFormat="1" ht="15" customHeight="1" x14ac:dyDescent="0.25">
      <c r="A20" s="334" t="s">
        <v>211</v>
      </c>
      <c r="B20" s="334"/>
      <c r="C20" s="334"/>
      <c r="D20" s="334"/>
      <c r="E20" s="334"/>
      <c r="F20" s="239"/>
      <c r="G20" s="185">
        <f t="shared" si="0"/>
        <v>0</v>
      </c>
      <c r="H20" s="186">
        <v>5</v>
      </c>
      <c r="I20" s="30"/>
      <c r="J20" s="32"/>
      <c r="K20" s="32"/>
    </row>
    <row r="21" spans="1:13" ht="32.25" customHeight="1" x14ac:dyDescent="0.25">
      <c r="A21" s="384" t="s">
        <v>212</v>
      </c>
      <c r="B21" s="384"/>
      <c r="C21" s="384"/>
      <c r="D21" s="384"/>
      <c r="E21" s="384"/>
      <c r="F21" s="240"/>
      <c r="G21" s="191">
        <f t="shared" si="0"/>
        <v>0</v>
      </c>
      <c r="H21" s="192">
        <v>5</v>
      </c>
      <c r="I21" s="29"/>
    </row>
    <row r="22" spans="1:13" ht="15" customHeight="1" x14ac:dyDescent="0.25">
      <c r="A22" s="326" t="s">
        <v>114</v>
      </c>
      <c r="B22" s="326"/>
      <c r="C22" s="326"/>
      <c r="D22" s="326"/>
      <c r="E22" s="326"/>
      <c r="F22" s="326"/>
      <c r="G22" s="72">
        <f>SUM(G12:G21)</f>
        <v>0</v>
      </c>
      <c r="H22" s="74">
        <f>SUM(H12:H21)</f>
        <v>50</v>
      </c>
      <c r="I22" s="4"/>
      <c r="J22" s="1"/>
      <c r="K22" s="1"/>
    </row>
    <row r="23" spans="1:13" s="49" customFormat="1" x14ac:dyDescent="0.25">
      <c r="A23" s="179"/>
      <c r="B23" s="179"/>
      <c r="C23" s="179"/>
      <c r="D23" s="179"/>
      <c r="E23" s="179"/>
      <c r="F23" s="180"/>
      <c r="G23" s="181"/>
      <c r="H23" s="182"/>
      <c r="I23" s="183"/>
      <c r="J23" s="184"/>
      <c r="K23" s="184"/>
    </row>
    <row r="24" spans="1:13" ht="41.25" x14ac:dyDescent="0.25">
      <c r="A24" s="314" t="s">
        <v>2</v>
      </c>
      <c r="B24" s="315"/>
      <c r="C24" s="315"/>
      <c r="D24" s="315"/>
      <c r="E24" s="316"/>
      <c r="F24" s="85" t="s">
        <v>19</v>
      </c>
      <c r="G24" s="190" t="s">
        <v>0</v>
      </c>
      <c r="H24" s="88" t="s">
        <v>25</v>
      </c>
      <c r="I24" s="29"/>
    </row>
    <row r="25" spans="1:13" x14ac:dyDescent="0.25">
      <c r="A25" s="300" t="s">
        <v>122</v>
      </c>
      <c r="B25" s="300"/>
      <c r="C25" s="300"/>
      <c r="D25" s="300"/>
      <c r="E25" s="300"/>
      <c r="F25" s="140"/>
      <c r="G25" s="72">
        <f t="shared" si="0"/>
        <v>0</v>
      </c>
      <c r="H25" s="73">
        <v>10</v>
      </c>
      <c r="I25" s="29"/>
    </row>
    <row r="26" spans="1:13" ht="15" customHeight="1" x14ac:dyDescent="0.25">
      <c r="A26" s="317" t="s">
        <v>213</v>
      </c>
      <c r="B26" s="317"/>
      <c r="C26" s="317"/>
      <c r="D26" s="317"/>
      <c r="E26" s="317"/>
      <c r="F26" s="141"/>
      <c r="G26" s="69">
        <f t="shared" si="0"/>
        <v>0</v>
      </c>
      <c r="H26" s="70">
        <v>10</v>
      </c>
      <c r="I26" s="29"/>
    </row>
    <row r="27" spans="1:13" ht="15" customHeight="1" x14ac:dyDescent="0.25">
      <c r="A27" s="317" t="s">
        <v>214</v>
      </c>
      <c r="B27" s="317"/>
      <c r="C27" s="317"/>
      <c r="D27" s="317"/>
      <c r="E27" s="317"/>
      <c r="F27" s="141"/>
      <c r="G27" s="69">
        <f t="shared" si="0"/>
        <v>0</v>
      </c>
      <c r="H27" s="70">
        <v>10</v>
      </c>
      <c r="I27" s="29"/>
    </row>
    <row r="28" spans="1:13" x14ac:dyDescent="0.25">
      <c r="A28" s="327" t="s">
        <v>215</v>
      </c>
      <c r="B28" s="327"/>
      <c r="C28" s="327"/>
      <c r="D28" s="327"/>
      <c r="E28" s="327"/>
      <c r="F28" s="146"/>
      <c r="G28" s="78">
        <f t="shared" si="0"/>
        <v>0</v>
      </c>
      <c r="H28" s="80">
        <v>10</v>
      </c>
      <c r="I28" s="29"/>
    </row>
    <row r="29" spans="1:13" ht="15" customHeight="1" x14ac:dyDescent="0.25">
      <c r="A29" s="326" t="s">
        <v>116</v>
      </c>
      <c r="B29" s="326"/>
      <c r="C29" s="326"/>
      <c r="D29" s="326"/>
      <c r="E29" s="326"/>
      <c r="F29" s="326"/>
      <c r="G29" s="72">
        <f>SUM(G25:G28)</f>
        <v>0</v>
      </c>
      <c r="H29" s="74">
        <f>SUM(H25:H28)</f>
        <v>40</v>
      </c>
      <c r="I29" s="4"/>
      <c r="J29" s="1"/>
      <c r="K29" s="1"/>
    </row>
    <row r="30" spans="1:13" s="49" customFormat="1" x14ac:dyDescent="0.25">
      <c r="A30" s="179"/>
      <c r="B30" s="179"/>
      <c r="C30" s="179"/>
      <c r="D30" s="179"/>
      <c r="E30" s="179"/>
      <c r="F30" s="180"/>
      <c r="G30" s="181"/>
      <c r="H30" s="182"/>
      <c r="I30" s="183"/>
      <c r="J30" s="184"/>
      <c r="K30" s="184"/>
    </row>
    <row r="31" spans="1:13" ht="41.25" x14ac:dyDescent="0.25">
      <c r="A31" s="301" t="s">
        <v>66</v>
      </c>
      <c r="B31" s="301"/>
      <c r="C31" s="301"/>
      <c r="D31" s="301"/>
      <c r="E31" s="301"/>
      <c r="F31" s="85" t="s">
        <v>19</v>
      </c>
      <c r="G31" s="190" t="s">
        <v>0</v>
      </c>
      <c r="H31" s="88" t="s">
        <v>25</v>
      </c>
      <c r="I31" s="29"/>
      <c r="M31" t="str">
        <f>IF(F32="Y","PASS",IF(F32="N","CWIF"," "))</f>
        <v xml:space="preserve"> </v>
      </c>
    </row>
    <row r="32" spans="1:13" x14ac:dyDescent="0.25">
      <c r="A32" s="371" t="s">
        <v>216</v>
      </c>
      <c r="B32" s="371"/>
      <c r="C32" s="371"/>
      <c r="D32" s="371"/>
      <c r="E32" s="371"/>
      <c r="F32" s="226"/>
      <c r="G32" s="195">
        <f t="shared" ref="G32" si="1">IF(F32="Y",H32,IF(F32="N",0,IF(F32="",0)))</f>
        <v>0</v>
      </c>
      <c r="H32" s="196">
        <v>50</v>
      </c>
      <c r="I32" s="29"/>
      <c r="J32" s="25"/>
      <c r="K32" s="25"/>
    </row>
    <row r="33" spans="1:14" s="49" customFormat="1" x14ac:dyDescent="0.25">
      <c r="A33" s="179"/>
      <c r="B33" s="179"/>
      <c r="C33" s="179"/>
      <c r="D33" s="179"/>
      <c r="E33" s="179"/>
      <c r="F33" s="180"/>
      <c r="G33" s="181"/>
      <c r="H33" s="182"/>
      <c r="I33" s="183"/>
      <c r="J33" s="184"/>
      <c r="K33" s="184"/>
    </row>
    <row r="34" spans="1:14" ht="30" x14ac:dyDescent="0.25">
      <c r="A34" s="85" t="s">
        <v>68</v>
      </c>
      <c r="B34" s="85" t="s">
        <v>42</v>
      </c>
      <c r="C34" s="48"/>
      <c r="E34" s="330" t="s">
        <v>25</v>
      </c>
      <c r="F34" s="330"/>
      <c r="G34" s="330"/>
      <c r="H34" s="330"/>
      <c r="I34" s="29"/>
      <c r="J34" s="25"/>
      <c r="K34" s="25"/>
    </row>
    <row r="35" spans="1:14" x14ac:dyDescent="0.25">
      <c r="A35" s="89" t="s">
        <v>155</v>
      </c>
      <c r="B35" s="62"/>
      <c r="C35" s="134"/>
      <c r="D35" s="202"/>
      <c r="E35" s="187">
        <v>40</v>
      </c>
      <c r="F35" s="186">
        <v>30</v>
      </c>
      <c r="G35" s="186">
        <v>20</v>
      </c>
      <c r="H35" s="186">
        <v>0</v>
      </c>
      <c r="I35" s="29"/>
      <c r="J35" s="25"/>
      <c r="K35" s="25"/>
    </row>
    <row r="36" spans="1:14" x14ac:dyDescent="0.25">
      <c r="A36" s="90" t="s">
        <v>156</v>
      </c>
      <c r="B36" s="64"/>
      <c r="C36" s="122"/>
      <c r="D36" s="122"/>
      <c r="E36" s="187" t="s">
        <v>43</v>
      </c>
      <c r="F36" s="210" t="s">
        <v>46</v>
      </c>
      <c r="G36" s="186" t="s">
        <v>44</v>
      </c>
      <c r="H36" s="186" t="s">
        <v>45</v>
      </c>
      <c r="I36" s="30"/>
      <c r="J36" s="33"/>
      <c r="K36" s="25"/>
    </row>
    <row r="37" spans="1:14" s="19" customFormat="1" ht="27" customHeight="1" x14ac:dyDescent="0.2">
      <c r="A37" s="248" t="s">
        <v>149</v>
      </c>
      <c r="B37" s="229" t="str">
        <f>IF(B36=0,"",B35/B36)</f>
        <v/>
      </c>
      <c r="C37" s="122"/>
      <c r="D37" s="122"/>
      <c r="E37" s="110" t="s">
        <v>151</v>
      </c>
      <c r="F37" s="111" t="s">
        <v>152</v>
      </c>
      <c r="G37" s="200" t="s">
        <v>153</v>
      </c>
      <c r="H37" s="112" t="s">
        <v>154</v>
      </c>
      <c r="I37" s="249"/>
      <c r="J37" s="250"/>
      <c r="K37" s="251"/>
      <c r="M37" s="19" t="str">
        <f>IF(B36="","NA",IF(B38&lt;30,"KWIF","PASS"))</f>
        <v>NA</v>
      </c>
    </row>
    <row r="38" spans="1:14" x14ac:dyDescent="0.25">
      <c r="A38" s="101" t="s">
        <v>219</v>
      </c>
      <c r="B38" s="72">
        <f>IF(B36&lt;100,M39,M38)</f>
        <v>0</v>
      </c>
      <c r="C38" s="122"/>
      <c r="D38" s="122"/>
      <c r="J38" s="175"/>
      <c r="K38" s="25"/>
      <c r="M38" s="45"/>
      <c r="N38" s="49"/>
    </row>
    <row r="39" spans="1:14" ht="15" customHeight="1" x14ac:dyDescent="0.25">
      <c r="C39" s="122"/>
      <c r="D39" s="122"/>
      <c r="J39" s="175"/>
      <c r="K39" s="25"/>
      <c r="M39" s="3">
        <f>IF(B36="",0,IF(B35=0,E35,IF(B35=1,F35,IF(B35=2,G35,IF(B35&gt;2,H35)))))</f>
        <v>0</v>
      </c>
      <c r="N39" t="s">
        <v>51</v>
      </c>
    </row>
    <row r="40" spans="1:14" s="49" customFormat="1" x14ac:dyDescent="0.25">
      <c r="A40" s="179"/>
      <c r="B40" s="179"/>
      <c r="C40" s="122"/>
      <c r="D40" s="122"/>
      <c r="I40" s="183"/>
      <c r="J40" s="184"/>
      <c r="K40" s="184"/>
    </row>
    <row r="41" spans="1:14" ht="30" x14ac:dyDescent="0.25">
      <c r="A41" s="93" t="s">
        <v>69</v>
      </c>
      <c r="B41" s="93" t="s">
        <v>42</v>
      </c>
      <c r="C41" s="122"/>
      <c r="D41" s="122"/>
      <c r="E41" s="330" t="s">
        <v>25</v>
      </c>
      <c r="F41" s="330"/>
      <c r="G41" s="330"/>
      <c r="H41" s="330"/>
      <c r="I41" s="29"/>
    </row>
    <row r="42" spans="1:14" x14ac:dyDescent="0.25">
      <c r="A42" s="89" t="s">
        <v>188</v>
      </c>
      <c r="B42" s="64"/>
      <c r="C42" s="122"/>
      <c r="D42" s="122"/>
      <c r="E42" s="71">
        <v>50</v>
      </c>
      <c r="F42" s="71">
        <v>45</v>
      </c>
      <c r="G42" s="70">
        <v>40</v>
      </c>
      <c r="H42" s="70">
        <v>0</v>
      </c>
      <c r="I42" s="29"/>
      <c r="J42" s="25"/>
      <c r="K42" s="25"/>
    </row>
    <row r="43" spans="1:14" ht="15" customHeight="1" x14ac:dyDescent="0.25">
      <c r="A43" s="90" t="s">
        <v>156</v>
      </c>
      <c r="B43" s="64"/>
      <c r="C43" s="122"/>
      <c r="D43" s="122"/>
      <c r="E43" s="106" t="s">
        <v>70</v>
      </c>
      <c r="F43" s="106" t="s">
        <v>71</v>
      </c>
      <c r="G43" s="106" t="s">
        <v>72</v>
      </c>
      <c r="H43" s="70" t="s">
        <v>73</v>
      </c>
      <c r="I43" s="29"/>
      <c r="J43" s="25"/>
      <c r="K43" s="25"/>
    </row>
    <row r="44" spans="1:14" x14ac:dyDescent="0.25">
      <c r="A44" s="102" t="s">
        <v>220</v>
      </c>
      <c r="B44" s="218" t="str">
        <f>IF(B43=0,"",B42/B43)</f>
        <v/>
      </c>
      <c r="C44" s="122"/>
      <c r="D44" s="122"/>
      <c r="E44" s="110" t="s">
        <v>151</v>
      </c>
      <c r="F44" s="201" t="s">
        <v>217</v>
      </c>
      <c r="G44" s="111" t="s">
        <v>152</v>
      </c>
      <c r="H44" s="112" t="s">
        <v>154</v>
      </c>
      <c r="I44" s="29"/>
      <c r="M44" t="str">
        <f>IF(B43="","NA",IF(B44&gt;0.25,"CWIF","PASS"))</f>
        <v>NA</v>
      </c>
    </row>
    <row r="45" spans="1:14" x14ac:dyDescent="0.25">
      <c r="A45" s="100" t="s">
        <v>150</v>
      </c>
      <c r="B45" s="72">
        <f>IF(B44="",0,IF(B44&lt;=0.05,E42,IF((B44&gt;0.05)*(B44&lt;=0.15),F42,IF((B44&gt;0.15)*(B44&lt;=0.25),G42,IF(B44&gt;0.25,H42)))))</f>
        <v>0</v>
      </c>
      <c r="C45" s="122"/>
      <c r="D45" s="122"/>
      <c r="I45" s="29"/>
    </row>
    <row r="46" spans="1:14" x14ac:dyDescent="0.25">
      <c r="C46" s="122"/>
      <c r="D46" s="122"/>
      <c r="E46" s="117"/>
      <c r="F46" s="117"/>
      <c r="G46" s="117"/>
      <c r="H46" s="115"/>
      <c r="I46" s="29"/>
    </row>
    <row r="47" spans="1:14" ht="30" x14ac:dyDescent="0.25">
      <c r="A47" s="85" t="s">
        <v>76</v>
      </c>
      <c r="B47" s="85" t="s">
        <v>42</v>
      </c>
      <c r="C47" s="122"/>
      <c r="D47" s="122"/>
      <c r="E47" s="330" t="s">
        <v>25</v>
      </c>
      <c r="F47" s="330"/>
      <c r="G47" s="330"/>
      <c r="H47" s="330"/>
      <c r="I47" s="29"/>
      <c r="J47" s="25"/>
      <c r="K47" s="25"/>
    </row>
    <row r="48" spans="1:14" ht="30" x14ac:dyDescent="0.25">
      <c r="A48" s="212" t="s">
        <v>240</v>
      </c>
      <c r="B48" s="227"/>
      <c r="C48" s="122"/>
      <c r="D48" s="122"/>
      <c r="E48" s="71">
        <v>40</v>
      </c>
      <c r="F48" s="70">
        <v>30</v>
      </c>
      <c r="G48" s="70">
        <v>20</v>
      </c>
      <c r="H48" s="70">
        <v>0</v>
      </c>
      <c r="I48" s="29"/>
      <c r="J48" s="25"/>
      <c r="K48" s="25"/>
    </row>
    <row r="49" spans="1:14" x14ac:dyDescent="0.25">
      <c r="A49" s="90" t="s">
        <v>221</v>
      </c>
      <c r="B49" s="228"/>
      <c r="C49" s="122"/>
      <c r="D49" s="122"/>
      <c r="E49" s="187" t="s">
        <v>43</v>
      </c>
      <c r="F49" s="210" t="s">
        <v>282</v>
      </c>
      <c r="G49" s="186" t="s">
        <v>283</v>
      </c>
      <c r="H49" s="186" t="s">
        <v>284</v>
      </c>
      <c r="I49" s="29"/>
      <c r="J49" s="25"/>
      <c r="K49" s="25"/>
    </row>
    <row r="50" spans="1:14" s="19" customFormat="1" x14ac:dyDescent="0.2">
      <c r="A50" s="253" t="s">
        <v>156</v>
      </c>
      <c r="B50" s="228"/>
      <c r="C50" s="122"/>
      <c r="D50" s="122"/>
      <c r="E50" s="110" t="s">
        <v>151</v>
      </c>
      <c r="F50" s="111" t="s">
        <v>152</v>
      </c>
      <c r="G50" s="200" t="s">
        <v>153</v>
      </c>
      <c r="H50" s="112" t="s">
        <v>154</v>
      </c>
      <c r="I50" s="249"/>
      <c r="J50" s="250"/>
      <c r="K50" s="251"/>
    </row>
    <row r="51" spans="1:14" ht="24.75" customHeight="1" x14ac:dyDescent="0.25">
      <c r="A51" s="102" t="s">
        <v>222</v>
      </c>
      <c r="B51" s="229" t="str">
        <f>IF(B50=0,"",B49/B50)</f>
        <v/>
      </c>
      <c r="C51" s="372" t="s">
        <v>218</v>
      </c>
      <c r="D51" s="305"/>
      <c r="E51" s="110" t="s">
        <v>151</v>
      </c>
      <c r="F51" s="201" t="s">
        <v>217</v>
      </c>
      <c r="G51" s="111" t="s">
        <v>152</v>
      </c>
      <c r="H51" s="112" t="s">
        <v>154</v>
      </c>
      <c r="I51" s="30"/>
      <c r="J51" s="33"/>
      <c r="K51" s="25"/>
      <c r="M51" t="str">
        <f>IF(B50="","NA",IF(((B48="Y")*(B49&lt;3)),"PASS",IF((B48="N")*(B52&lt;30),"KWIF","PASS")))</f>
        <v>NA</v>
      </c>
    </row>
    <row r="52" spans="1:14" ht="25.5" customHeight="1" x14ac:dyDescent="0.25">
      <c r="A52" s="101" t="s">
        <v>157</v>
      </c>
      <c r="B52" s="188">
        <f>IF(B50&lt;100,M53,M52)</f>
        <v>0</v>
      </c>
      <c r="J52" s="175"/>
      <c r="K52" s="25"/>
      <c r="M52" s="45"/>
      <c r="N52" s="49"/>
    </row>
    <row r="53" spans="1:14" ht="15" customHeight="1" x14ac:dyDescent="0.25">
      <c r="J53" s="175"/>
      <c r="K53" s="25"/>
      <c r="M53" s="3">
        <f>IF(B50="",0,IF(B49=0,E48,IF(((B49&gt;0)*(B49&lt;3)),F48,IF(((B49&gt;2)*(B49&lt;6)),G48,IF(B49&gt;5,H48)))))</f>
        <v>0</v>
      </c>
      <c r="N53" t="s">
        <v>51</v>
      </c>
    </row>
    <row r="54" spans="1:14" x14ac:dyDescent="0.25">
      <c r="C54" s="8"/>
      <c r="E54" s="117"/>
      <c r="F54" s="117"/>
      <c r="G54" s="117"/>
      <c r="H54" s="115"/>
      <c r="I54" s="29"/>
    </row>
    <row r="55" spans="1:14" ht="30" x14ac:dyDescent="0.25">
      <c r="A55" s="85" t="s">
        <v>77</v>
      </c>
      <c r="B55" s="85" t="s">
        <v>42</v>
      </c>
      <c r="E55" s="335" t="s">
        <v>25</v>
      </c>
      <c r="F55" s="335"/>
      <c r="G55" s="335"/>
      <c r="H55" s="335"/>
    </row>
    <row r="56" spans="1:14" x14ac:dyDescent="0.25">
      <c r="A56" s="89" t="s">
        <v>223</v>
      </c>
      <c r="B56" s="62"/>
      <c r="C56" s="7"/>
      <c r="E56" s="214">
        <v>50</v>
      </c>
      <c r="F56" s="369">
        <v>40</v>
      </c>
      <c r="G56" s="370"/>
      <c r="H56" s="70">
        <v>0</v>
      </c>
      <c r="J56" s="25"/>
      <c r="K56" s="25"/>
    </row>
    <row r="57" spans="1:14" ht="15" customHeight="1" x14ac:dyDescent="0.25">
      <c r="A57" s="90" t="s">
        <v>156</v>
      </c>
      <c r="B57" s="64"/>
      <c r="C57" s="305" t="s">
        <v>225</v>
      </c>
      <c r="D57" s="306"/>
      <c r="E57" s="215">
        <v>1</v>
      </c>
      <c r="F57" s="367" t="s">
        <v>78</v>
      </c>
      <c r="G57" s="368"/>
      <c r="H57" s="186" t="s">
        <v>79</v>
      </c>
      <c r="J57" s="25"/>
      <c r="K57" s="25"/>
    </row>
    <row r="58" spans="1:14" ht="30" customHeight="1" x14ac:dyDescent="0.25">
      <c r="A58" s="102" t="s">
        <v>224</v>
      </c>
      <c r="B58" s="218" t="str">
        <f>IF(B57=0,"",B56/B57)</f>
        <v/>
      </c>
      <c r="C58" s="305" t="s">
        <v>226</v>
      </c>
      <c r="D58" s="306"/>
      <c r="E58" s="216" t="s">
        <v>227</v>
      </c>
      <c r="F58" s="365" t="s">
        <v>228</v>
      </c>
      <c r="G58" s="366"/>
      <c r="H58" s="217" t="s">
        <v>229</v>
      </c>
      <c r="M58" t="str">
        <f>IF(B57="NA","NA",IF(B57="","NA",IF(B59&lt;40,"CWIF","PASS")))</f>
        <v>NA</v>
      </c>
    </row>
    <row r="59" spans="1:14" x14ac:dyDescent="0.25">
      <c r="A59" s="101" t="s">
        <v>230</v>
      </c>
      <c r="B59" s="72">
        <f>IF(B57="NA",0,IF(B57="",0,IF(B57&lt;40,M60,M59)))</f>
        <v>0</v>
      </c>
      <c r="C59" s="8"/>
      <c r="E59" s="110" t="s">
        <v>151</v>
      </c>
      <c r="F59" s="363" t="s">
        <v>152</v>
      </c>
      <c r="G59" s="364"/>
      <c r="H59" s="112" t="s">
        <v>154</v>
      </c>
      <c r="M59" s="3">
        <f>IF(B57="NA",0,IF(B58="",0,IF(B58=1,E56,IF((B58&lt;1)*(B58&gt;=0.96),F56,IF(B58&lt;0.96,G56)))))</f>
        <v>0</v>
      </c>
      <c r="N59" t="s">
        <v>50</v>
      </c>
    </row>
    <row r="60" spans="1:14" ht="27.75" customHeight="1" x14ac:dyDescent="0.25">
      <c r="A60" s="362" t="s">
        <v>231</v>
      </c>
      <c r="B60" s="362"/>
      <c r="C60" s="362"/>
      <c r="D60" s="362"/>
      <c r="E60" s="362"/>
      <c r="F60" s="362"/>
      <c r="G60" s="362"/>
      <c r="H60" s="362"/>
      <c r="M60" s="3">
        <f>IF(B58="NA",0,IF(B57="",0,IF(((B57-B56)=0),E56,IF(((B57-B56)=1),F56,IF(((B57-B56)&gt;1),H56)))))</f>
        <v>0</v>
      </c>
      <c r="N60" t="s">
        <v>51</v>
      </c>
    </row>
    <row r="61" spans="1:14" ht="15" customHeight="1" x14ac:dyDescent="0.25">
      <c r="J61" s="175"/>
      <c r="K61" s="25"/>
    </row>
    <row r="62" spans="1:14" ht="30" x14ac:dyDescent="0.25">
      <c r="A62" s="85" t="s">
        <v>80</v>
      </c>
      <c r="B62" s="85" t="s">
        <v>42</v>
      </c>
      <c r="G62" s="335" t="s">
        <v>25</v>
      </c>
      <c r="H62" s="335"/>
      <c r="I62" s="29"/>
    </row>
    <row r="63" spans="1:14" x14ac:dyDescent="0.25">
      <c r="A63" s="89" t="s">
        <v>232</v>
      </c>
      <c r="B63" s="62"/>
      <c r="C63" s="104"/>
      <c r="D63" s="104"/>
      <c r="E63" s="104"/>
      <c r="F63" s="104"/>
      <c r="G63" s="214">
        <v>50</v>
      </c>
      <c r="H63" s="70">
        <v>0</v>
      </c>
      <c r="I63" s="29"/>
      <c r="J63" s="25"/>
      <c r="K63" s="25"/>
    </row>
    <row r="64" spans="1:14" ht="15" customHeight="1" x14ac:dyDescent="0.25">
      <c r="A64" s="90" t="s">
        <v>156</v>
      </c>
      <c r="B64" s="64"/>
      <c r="C64" s="47"/>
      <c r="D64" s="377"/>
      <c r="E64" s="377"/>
      <c r="F64" s="220"/>
      <c r="G64" s="215">
        <v>1</v>
      </c>
      <c r="H64" s="186" t="s">
        <v>81</v>
      </c>
      <c r="I64" s="29"/>
      <c r="J64" s="25"/>
      <c r="K64" s="25"/>
    </row>
    <row r="65" spans="1:14" x14ac:dyDescent="0.25">
      <c r="A65" s="102" t="s">
        <v>233</v>
      </c>
      <c r="B65" s="218" t="str">
        <f>IF(B64=0,"",B63/B64)</f>
        <v/>
      </c>
      <c r="C65" s="48"/>
      <c r="D65" s="221"/>
      <c r="E65" s="131"/>
      <c r="F65" s="136"/>
      <c r="G65" s="111" t="s">
        <v>152</v>
      </c>
      <c r="H65" s="112" t="s">
        <v>154</v>
      </c>
      <c r="I65" s="29"/>
      <c r="M65" t="str">
        <f>IF(B65="","NA",IF(B65&lt;0.96,"CWIF","PASS"))</f>
        <v>NA</v>
      </c>
    </row>
    <row r="66" spans="1:14" x14ac:dyDescent="0.25">
      <c r="A66" s="101" t="s">
        <v>174</v>
      </c>
      <c r="B66" s="72">
        <f>IF(B64="",0,IF(B65=1,G63,IF(B65&lt;1,H63)))</f>
        <v>0</v>
      </c>
      <c r="C66" s="47"/>
      <c r="D66" s="222"/>
      <c r="E66" s="132"/>
      <c r="F66" s="136"/>
      <c r="G66" s="4"/>
      <c r="H66" s="29"/>
      <c r="I66" s="29"/>
    </row>
    <row r="67" spans="1:14" ht="15" customHeight="1" x14ac:dyDescent="0.25">
      <c r="C67" s="48"/>
      <c r="D67" s="133"/>
      <c r="E67" s="133"/>
      <c r="F67" s="48"/>
      <c r="J67" s="175"/>
      <c r="K67" s="25"/>
      <c r="M67" s="45"/>
    </row>
    <row r="68" spans="1:14" ht="54" x14ac:dyDescent="0.25">
      <c r="A68" s="301" t="s">
        <v>82</v>
      </c>
      <c r="B68" s="301"/>
      <c r="C68" s="301"/>
      <c r="D68" s="85" t="s">
        <v>38</v>
      </c>
      <c r="E68" s="223"/>
      <c r="F68" s="310" t="s">
        <v>25</v>
      </c>
      <c r="G68" s="310"/>
      <c r="H68" s="310"/>
      <c r="I68" s="29"/>
      <c r="J68" s="21"/>
    </row>
    <row r="69" spans="1:14" ht="30" customHeight="1" x14ac:dyDescent="0.25">
      <c r="A69" s="331" t="s">
        <v>171</v>
      </c>
      <c r="B69" s="331"/>
      <c r="C69" s="331"/>
      <c r="D69" s="276"/>
      <c r="E69" s="131"/>
      <c r="F69" s="186">
        <v>50</v>
      </c>
      <c r="G69" s="186">
        <v>0</v>
      </c>
      <c r="H69" s="186" t="s">
        <v>15</v>
      </c>
      <c r="I69" s="29"/>
      <c r="M69" t="str">
        <f>IF(D69="","NA",IF(D69="N","CWIF","PASS"))</f>
        <v>NA</v>
      </c>
    </row>
    <row r="70" spans="1:14" x14ac:dyDescent="0.25">
      <c r="A70" s="380" t="s">
        <v>234</v>
      </c>
      <c r="B70" s="380"/>
      <c r="C70" s="380"/>
      <c r="D70" s="69">
        <f>IF(D69="Y",F69,IF(D69="N",0,IF(D69="NA","",IF(D69="",0))))</f>
        <v>0</v>
      </c>
      <c r="E70" s="132"/>
      <c r="F70" s="70" t="s">
        <v>16</v>
      </c>
      <c r="G70" s="106" t="s">
        <v>17</v>
      </c>
      <c r="H70" s="70" t="s">
        <v>39</v>
      </c>
      <c r="I70" s="29"/>
      <c r="J70" s="34"/>
    </row>
    <row r="71" spans="1:14" ht="15" customHeight="1" x14ac:dyDescent="0.25">
      <c r="A71" s="378" t="s">
        <v>172</v>
      </c>
      <c r="B71" s="378"/>
      <c r="C71" s="378"/>
      <c r="D71" s="378"/>
      <c r="E71" s="379"/>
      <c r="F71" s="111" t="s">
        <v>152</v>
      </c>
      <c r="G71" s="112" t="s">
        <v>154</v>
      </c>
      <c r="H71" s="68" t="s">
        <v>173</v>
      </c>
      <c r="J71" s="175"/>
      <c r="K71" s="25"/>
      <c r="M71" s="3">
        <f>IF(D68="",0,IF(D68=0,E66,IF(D68=1,F66,IF(D68=2,G66,IF(D68&gt;1,H66)))))</f>
        <v>0</v>
      </c>
      <c r="N71" t="s">
        <v>51</v>
      </c>
    </row>
    <row r="72" spans="1:14" ht="15" customHeight="1" x14ac:dyDescent="0.25">
      <c r="F72" s="120"/>
      <c r="G72" s="121"/>
      <c r="H72" s="224"/>
      <c r="J72" s="175"/>
      <c r="K72" s="25"/>
      <c r="M72" s="3"/>
    </row>
    <row r="73" spans="1:14" ht="41.25" x14ac:dyDescent="0.25">
      <c r="A73" s="301" t="s">
        <v>83</v>
      </c>
      <c r="B73" s="301"/>
      <c r="C73" s="301"/>
      <c r="D73" s="85" t="s">
        <v>19</v>
      </c>
      <c r="E73" s="7"/>
      <c r="F73"/>
      <c r="G73"/>
      <c r="H73" s="29"/>
      <c r="I73" s="29"/>
    </row>
    <row r="74" spans="1:14" x14ac:dyDescent="0.25">
      <c r="A74" s="371" t="s">
        <v>67</v>
      </c>
      <c r="B74" s="371"/>
      <c r="C74" s="371"/>
      <c r="D74" s="226"/>
      <c r="E74" s="14" t="s">
        <v>1</v>
      </c>
      <c r="F74" s="4"/>
      <c r="G74" s="4"/>
      <c r="H74" s="29"/>
      <c r="I74" s="29"/>
      <c r="K74" s="29"/>
      <c r="M74" t="str">
        <f>IF(D74="","NA",IF(D74="Y","CWIF","PASS"))</f>
        <v>NA</v>
      </c>
    </row>
    <row r="75" spans="1:14" x14ac:dyDescent="0.25">
      <c r="A75" s="194"/>
      <c r="B75" s="194"/>
      <c r="C75" s="194"/>
      <c r="D75" s="241"/>
      <c r="E75" s="14"/>
      <c r="F75" s="4"/>
      <c r="G75" s="4"/>
      <c r="H75" s="29"/>
      <c r="I75" s="29"/>
      <c r="K75" s="29"/>
    </row>
    <row r="76" spans="1:14" x14ac:dyDescent="0.25">
      <c r="C76" s="4"/>
      <c r="D76" s="4"/>
      <c r="E76" s="4"/>
      <c r="F76" s="4"/>
      <c r="G76" s="4"/>
      <c r="H76" s="29"/>
      <c r="I76" s="29"/>
    </row>
    <row r="77" spans="1:14" ht="15.75" customHeight="1" x14ac:dyDescent="0.25">
      <c r="A77" s="85" t="s">
        <v>175</v>
      </c>
      <c r="B77" s="172" t="s">
        <v>0</v>
      </c>
      <c r="C77" s="172" t="s">
        <v>25</v>
      </c>
      <c r="D77" s="302" t="s">
        <v>273</v>
      </c>
      <c r="E77" s="302"/>
      <c r="F77" s="4"/>
      <c r="G77" s="4"/>
      <c r="H77" s="4"/>
      <c r="I77" s="4"/>
      <c r="J77"/>
      <c r="K77"/>
    </row>
    <row r="78" spans="1:14" x14ac:dyDescent="0.25">
      <c r="A78" s="139" t="s">
        <v>176</v>
      </c>
      <c r="B78" s="72">
        <f>G22</f>
        <v>0</v>
      </c>
      <c r="C78" s="173">
        <v>50</v>
      </c>
      <c r="D78" s="296" t="s">
        <v>115</v>
      </c>
      <c r="E78" s="296"/>
      <c r="F78" s="4"/>
      <c r="G78" s="4"/>
      <c r="H78" s="4"/>
      <c r="I78" s="4"/>
      <c r="J78"/>
      <c r="K78"/>
    </row>
    <row r="79" spans="1:14" x14ac:dyDescent="0.25">
      <c r="A79" s="93" t="s">
        <v>177</v>
      </c>
      <c r="B79" s="69">
        <f>G29</f>
        <v>0</v>
      </c>
      <c r="C79" s="174">
        <v>40</v>
      </c>
      <c r="D79" s="361" t="s">
        <v>115</v>
      </c>
      <c r="E79" s="361"/>
      <c r="F79" s="4"/>
      <c r="G79" s="4"/>
      <c r="H79" s="4"/>
      <c r="I79" s="4"/>
      <c r="J79"/>
      <c r="K79"/>
    </row>
    <row r="80" spans="1:14" x14ac:dyDescent="0.25">
      <c r="A80" s="144" t="s">
        <v>235</v>
      </c>
      <c r="B80" s="153">
        <f>G32</f>
        <v>0</v>
      </c>
      <c r="C80" s="174">
        <v>50</v>
      </c>
      <c r="D80" s="355" t="str">
        <f>IF(M31="PASS","Pass",IF(M31="CWIF","Fail",""))</f>
        <v/>
      </c>
      <c r="E80" s="356"/>
      <c r="F80" s="4"/>
      <c r="G80" s="4"/>
      <c r="H80" s="4"/>
      <c r="I80" s="4"/>
      <c r="J80"/>
      <c r="K80"/>
    </row>
    <row r="81" spans="1:11" x14ac:dyDescent="0.25">
      <c r="A81" s="143" t="s">
        <v>179</v>
      </c>
      <c r="B81" s="69">
        <f>B38</f>
        <v>0</v>
      </c>
      <c r="C81" s="174">
        <v>40</v>
      </c>
      <c r="D81" s="355" t="str">
        <f>IF(M44="PASS","Pass",IF(M44="KWIF","Fail",""))</f>
        <v/>
      </c>
      <c r="E81" s="356"/>
      <c r="F81" s="4"/>
      <c r="G81" s="4"/>
      <c r="H81" s="4"/>
      <c r="I81" s="4"/>
      <c r="J81"/>
      <c r="K81"/>
    </row>
    <row r="82" spans="1:11" x14ac:dyDescent="0.25">
      <c r="A82" s="144" t="s">
        <v>236</v>
      </c>
      <c r="B82" s="69">
        <f>B45</f>
        <v>0</v>
      </c>
      <c r="C82" s="174">
        <v>50</v>
      </c>
      <c r="D82" s="355" t="str">
        <f>IF(M44="PASS","Pass",IF(M44="CWIF","Fail",""))</f>
        <v/>
      </c>
      <c r="E82" s="356"/>
      <c r="F82" s="4"/>
      <c r="G82" s="4"/>
      <c r="H82" s="4"/>
      <c r="I82" s="4"/>
      <c r="J82"/>
      <c r="K82"/>
    </row>
    <row r="83" spans="1:11" x14ac:dyDescent="0.25">
      <c r="A83" s="143" t="s">
        <v>237</v>
      </c>
      <c r="B83" s="69">
        <f>B52</f>
        <v>0</v>
      </c>
      <c r="C83" s="174">
        <v>40</v>
      </c>
      <c r="D83" s="355" t="str">
        <f>IF(M51="PASS","Pass",IF(M51="kWIF","Fail",""))</f>
        <v/>
      </c>
      <c r="E83" s="356"/>
      <c r="F83" s="4"/>
      <c r="G83" s="4"/>
      <c r="H83" s="4"/>
      <c r="I83" s="4"/>
      <c r="J83"/>
      <c r="K83"/>
    </row>
    <row r="84" spans="1:11" x14ac:dyDescent="0.25">
      <c r="A84" s="144" t="s">
        <v>238</v>
      </c>
      <c r="B84" s="69">
        <f>B59</f>
        <v>0</v>
      </c>
      <c r="C84" s="174">
        <f>IF(B57="NA",0,50)</f>
        <v>50</v>
      </c>
      <c r="D84" s="355" t="str">
        <f>IF(M58="PASS","Pass",IF(M58="CWIF","Fail",""))</f>
        <v/>
      </c>
      <c r="E84" s="356"/>
      <c r="F84" s="4"/>
      <c r="G84" s="4"/>
      <c r="H84" s="4"/>
      <c r="I84" s="4"/>
      <c r="J84"/>
      <c r="K84"/>
    </row>
    <row r="85" spans="1:11" x14ac:dyDescent="0.25">
      <c r="A85" s="144" t="s">
        <v>183</v>
      </c>
      <c r="B85" s="69">
        <f>B66</f>
        <v>0</v>
      </c>
      <c r="C85" s="174">
        <v>50</v>
      </c>
      <c r="D85" s="355" t="str">
        <f>IF(B65=1,"Pass",(IF(B65&lt;1,"Fail",IF(B64="",""))))</f>
        <v/>
      </c>
      <c r="E85" s="356"/>
      <c r="F85" s="4"/>
      <c r="G85" s="4"/>
      <c r="H85" s="4"/>
      <c r="I85" s="4"/>
      <c r="J85"/>
      <c r="K85"/>
    </row>
    <row r="86" spans="1:11" x14ac:dyDescent="0.25">
      <c r="A86" s="144" t="s">
        <v>184</v>
      </c>
      <c r="B86" s="69">
        <f>D70</f>
        <v>0</v>
      </c>
      <c r="C86" s="174">
        <f>IF(D69="NA",0, 50)</f>
        <v>50</v>
      </c>
      <c r="D86" s="355" t="str">
        <f>IF(D69="Y","Pass",(IF(D69="N","Fail",(IF(D69="NA","n/a","")))))</f>
        <v/>
      </c>
      <c r="E86" s="356"/>
      <c r="F86" s="4"/>
      <c r="G86" s="4"/>
      <c r="H86" s="4"/>
      <c r="I86" s="4"/>
      <c r="J86"/>
      <c r="K86"/>
    </row>
    <row r="87" spans="1:11" x14ac:dyDescent="0.25">
      <c r="A87" s="145" t="s">
        <v>239</v>
      </c>
      <c r="B87" s="78" t="s">
        <v>115</v>
      </c>
      <c r="C87" s="147" t="s">
        <v>115</v>
      </c>
      <c r="D87" s="357" t="str">
        <f>IF(D74="Y","Fail",(IF(D74="N","Pass","")))</f>
        <v/>
      </c>
      <c r="E87" s="358"/>
      <c r="F87" s="4"/>
      <c r="G87" s="4"/>
      <c r="H87" s="4"/>
      <c r="I87" s="4"/>
      <c r="J87"/>
      <c r="K87"/>
    </row>
    <row r="88" spans="1:11" x14ac:dyDescent="0.25">
      <c r="A88" s="101" t="s">
        <v>185</v>
      </c>
      <c r="B88" s="3">
        <f>SUM(G12:G21,G25:G28,G32,B38,B45,B52,B59,B66,D70)</f>
        <v>0</v>
      </c>
      <c r="C88" s="158">
        <f>SUM(C78:C87)</f>
        <v>420</v>
      </c>
      <c r="D88" s="296" t="s">
        <v>115</v>
      </c>
      <c r="E88" s="296"/>
      <c r="F88" s="4"/>
      <c r="G88" s="4"/>
      <c r="H88" s="4"/>
      <c r="I88" s="4"/>
      <c r="J88"/>
      <c r="K88"/>
    </row>
    <row r="89" spans="1:11" x14ac:dyDescent="0.25">
      <c r="C89" s="4"/>
      <c r="D89" s="4"/>
      <c r="E89" s="4"/>
      <c r="F89" s="4"/>
      <c r="G89" s="4"/>
      <c r="H89" s="29"/>
      <c r="I89" s="29"/>
    </row>
    <row r="90" spans="1:11" ht="15" customHeight="1" x14ac:dyDescent="0.25">
      <c r="A90" s="98" t="s">
        <v>186</v>
      </c>
      <c r="B90" s="230">
        <f>B88/C88</f>
        <v>0</v>
      </c>
      <c r="C90" s="359" t="s">
        <v>275</v>
      </c>
      <c r="D90" s="360"/>
      <c r="E90" s="360"/>
      <c r="F90" s="360"/>
      <c r="G90" s="360"/>
      <c r="H90" s="360"/>
      <c r="I90" s="360"/>
      <c r="J90"/>
      <c r="K90"/>
    </row>
    <row r="91" spans="1:11" ht="30" customHeight="1" x14ac:dyDescent="0.25">
      <c r="A91" s="100" t="s">
        <v>187</v>
      </c>
      <c r="B91" s="160" t="str">
        <f>IF(COUNTIF(M:M,"KWIF")&gt;1,"FAIL",IF(COUNTIF(M:M,"CWIF"),"FAIL",IF(((B57="NA")*(B90&gt;=0.85)),"PASS",IF(((B57="NA")*(B90&lt;0.86)),"FAIL",IF(B90&gt;=0.91,"PASS",IF(B90&lt;0.91,"FAIL"))))))</f>
        <v>FAIL</v>
      </c>
      <c r="C91" s="359"/>
      <c r="D91" s="360"/>
      <c r="E91" s="360"/>
      <c r="F91" s="360"/>
      <c r="G91" s="360"/>
      <c r="H91" s="360"/>
      <c r="I91" s="360"/>
      <c r="J91"/>
      <c r="K91"/>
    </row>
    <row r="92" spans="1:11" x14ac:dyDescent="0.25">
      <c r="C92" s="4"/>
      <c r="D92" s="4"/>
      <c r="E92" s="4"/>
      <c r="F92" s="4"/>
      <c r="G92" s="4"/>
      <c r="H92" s="4"/>
      <c r="I92" s="4"/>
      <c r="J92" s="1"/>
      <c r="K92" s="1"/>
    </row>
    <row r="93" spans="1:11" x14ac:dyDescent="0.25">
      <c r="A93" s="1" t="s">
        <v>105</v>
      </c>
      <c r="K93" s="1"/>
    </row>
    <row r="94" spans="1:11" x14ac:dyDescent="0.25">
      <c r="A94" s="297"/>
      <c r="B94" s="297"/>
      <c r="C94" s="297"/>
      <c r="D94" s="297"/>
      <c r="E94" s="297"/>
      <c r="F94" s="297"/>
      <c r="G94" s="297"/>
      <c r="H94" s="297"/>
      <c r="I94" s="297"/>
      <c r="K94" s="1"/>
    </row>
    <row r="95" spans="1:11" x14ac:dyDescent="0.25">
      <c r="A95" s="297"/>
      <c r="B95" s="297"/>
      <c r="C95" s="297"/>
      <c r="D95" s="297"/>
      <c r="E95" s="297"/>
      <c r="F95" s="297"/>
      <c r="G95" s="297"/>
      <c r="H95" s="297"/>
      <c r="I95" s="297"/>
      <c r="K95" s="1"/>
    </row>
    <row r="96" spans="1:11" x14ac:dyDescent="0.25">
      <c r="A96" s="297"/>
      <c r="B96" s="297"/>
      <c r="C96" s="297"/>
      <c r="D96" s="297"/>
      <c r="E96" s="297"/>
      <c r="F96" s="297"/>
      <c r="G96" s="297"/>
      <c r="H96" s="297"/>
      <c r="I96" s="297"/>
      <c r="K96" s="1"/>
    </row>
  </sheetData>
  <mergeCells count="66">
    <mergeCell ref="D77:E77"/>
    <mergeCell ref="D78:E78"/>
    <mergeCell ref="D79:E79"/>
    <mergeCell ref="D80:E80"/>
    <mergeCell ref="D81:E81"/>
    <mergeCell ref="D87:E87"/>
    <mergeCell ref="D88:E88"/>
    <mergeCell ref="C90:I91"/>
    <mergeCell ref="A94:I96"/>
    <mergeCell ref="D82:E82"/>
    <mergeCell ref="D83:E83"/>
    <mergeCell ref="D84:E84"/>
    <mergeCell ref="D85:E85"/>
    <mergeCell ref="D86:E86"/>
    <mergeCell ref="A71:E71"/>
    <mergeCell ref="A73:C73"/>
    <mergeCell ref="A74:C74"/>
    <mergeCell ref="F59:G59"/>
    <mergeCell ref="A60:H60"/>
    <mergeCell ref="G62:H62"/>
    <mergeCell ref="D64:E64"/>
    <mergeCell ref="A68:C68"/>
    <mergeCell ref="F68:H68"/>
    <mergeCell ref="A69:C69"/>
    <mergeCell ref="C57:D57"/>
    <mergeCell ref="F57:G57"/>
    <mergeCell ref="C58:D58"/>
    <mergeCell ref="F58:G58"/>
    <mergeCell ref="A70:C70"/>
    <mergeCell ref="C51:D51"/>
    <mergeCell ref="A31:E31"/>
    <mergeCell ref="A32:E32"/>
    <mergeCell ref="E34:H34"/>
    <mergeCell ref="F56:G56"/>
    <mergeCell ref="E55:H55"/>
    <mergeCell ref="A27:E27"/>
    <mergeCell ref="A28:E28"/>
    <mergeCell ref="A29:F29"/>
    <mergeCell ref="E41:H41"/>
    <mergeCell ref="E47:H47"/>
    <mergeCell ref="A21:E21"/>
    <mergeCell ref="A22:F22"/>
    <mergeCell ref="A24:E24"/>
    <mergeCell ref="A25:E25"/>
    <mergeCell ref="A26:E26"/>
    <mergeCell ref="A16:E16"/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7:D7"/>
    <mergeCell ref="E7:H7"/>
    <mergeCell ref="A8:D8"/>
    <mergeCell ref="E8:H8"/>
    <mergeCell ref="A9:D9"/>
    <mergeCell ref="E9:H9"/>
    <mergeCell ref="A1:I1"/>
    <mergeCell ref="E3:I3"/>
    <mergeCell ref="A4:D4"/>
    <mergeCell ref="A6:D6"/>
    <mergeCell ref="E6:H6"/>
  </mergeCells>
  <conditionalFormatting sqref="B37">
    <cfRule type="expression" dxfId="42" priority="9">
      <formula>$M$37="KWIF"</formula>
    </cfRule>
  </conditionalFormatting>
  <conditionalFormatting sqref="B51">
    <cfRule type="expression" dxfId="41" priority="8">
      <formula>$M$51="KWIF"</formula>
    </cfRule>
  </conditionalFormatting>
  <conditionalFormatting sqref="B65">
    <cfRule type="cellIs" dxfId="40" priority="7" operator="lessThan">
      <formula>1</formula>
    </cfRule>
  </conditionalFormatting>
  <conditionalFormatting sqref="D69">
    <cfRule type="endsWith" dxfId="39" priority="13" operator="endsWith" text="N">
      <formula>RIGHT(D69,LEN("N"))="N"</formula>
    </cfRule>
  </conditionalFormatting>
  <conditionalFormatting sqref="D74:D75">
    <cfRule type="containsText" dxfId="38" priority="12" operator="containsText" text="Y">
      <formula>NOT(ISERROR(SEARCH("Y",D74)))</formula>
    </cfRule>
  </conditionalFormatting>
  <conditionalFormatting sqref="B91">
    <cfRule type="containsText" dxfId="37" priority="10" operator="containsText" text="PASS">
      <formula>NOT(ISERROR(SEARCH("PASS",B91)))</formula>
    </cfRule>
    <cfRule type="containsText" dxfId="36" priority="11" operator="containsText" text="FAIL">
      <formula>NOT(ISERROR(SEARCH("FAIL",B91)))</formula>
    </cfRule>
  </conditionalFormatting>
  <conditionalFormatting sqref="D80 D82 D84:E87">
    <cfRule type="cellIs" dxfId="35" priority="6" operator="equal">
      <formula>"Fail"</formula>
    </cfRule>
  </conditionalFormatting>
  <conditionalFormatting sqref="D80:E87">
    <cfRule type="cellIs" dxfId="34" priority="4" operator="equal">
      <formula>"Pass"</formula>
    </cfRule>
  </conditionalFormatting>
  <conditionalFormatting sqref="D81:E81 D83:E83">
    <cfRule type="cellIs" dxfId="33" priority="3" operator="equal">
      <formula>"Fail"</formula>
    </cfRule>
  </conditionalFormatting>
  <conditionalFormatting sqref="B44">
    <cfRule type="expression" dxfId="32" priority="2">
      <formula>$M$44="CWIF"</formula>
    </cfRule>
  </conditionalFormatting>
  <conditionalFormatting sqref="B58">
    <cfRule type="expression" dxfId="31" priority="1">
      <formula>$M$58="CWIF"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BFF-A203-4976-AB60-4877C38A7EBD}">
  <dimension ref="A1:N120"/>
  <sheetViews>
    <sheetView showGridLines="0" zoomScaleNormal="10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7" width="15.140625" style="1" customWidth="1"/>
    <col min="8" max="11" width="15.140625" style="27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2" spans="1:13" x14ac:dyDescent="0.25">
      <c r="H2" s="1"/>
      <c r="I2" s="1"/>
      <c r="J2" s="1"/>
      <c r="K2" s="1"/>
    </row>
    <row r="3" spans="1:13" s="17" customFormat="1" x14ac:dyDescent="0.25">
      <c r="A3" s="2" t="s">
        <v>84</v>
      </c>
      <c r="B3" s="15"/>
      <c r="C3" s="2"/>
      <c r="D3" s="2"/>
      <c r="E3" s="329" t="s">
        <v>61</v>
      </c>
      <c r="F3" s="329"/>
      <c r="G3" s="329"/>
      <c r="H3" s="329"/>
      <c r="I3" s="329"/>
      <c r="J3" s="31"/>
      <c r="K3" s="35"/>
    </row>
    <row r="4" spans="1:13" s="25" customFormat="1" ht="42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7" t="s">
        <v>59</v>
      </c>
      <c r="I4" s="26" t="s">
        <v>60</v>
      </c>
      <c r="J4" s="21"/>
    </row>
    <row r="5" spans="1:13" s="17" customFormat="1" x14ac:dyDescent="0.25">
      <c r="A5" s="2"/>
      <c r="B5" s="2"/>
      <c r="C5" s="15"/>
      <c r="D5" s="2"/>
      <c r="E5" s="2"/>
      <c r="F5" s="165"/>
      <c r="G5" s="165"/>
      <c r="H5" s="165"/>
      <c r="I5" s="165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200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81" t="s">
        <v>201</v>
      </c>
      <c r="F8" s="382"/>
      <c r="G8" s="382"/>
      <c r="H8" s="383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81" t="s">
        <v>202</v>
      </c>
      <c r="F9" s="382"/>
      <c r="G9" s="382"/>
      <c r="H9" s="383"/>
      <c r="I9"/>
      <c r="J9"/>
      <c r="K9"/>
    </row>
    <row r="10" spans="1:13" x14ac:dyDescent="0.25">
      <c r="A10" s="19"/>
      <c r="B10" s="9"/>
      <c r="C10" s="20"/>
      <c r="D10" s="9"/>
      <c r="E10" s="9"/>
      <c r="I10" s="21"/>
      <c r="J10" s="21"/>
      <c r="K10" s="25"/>
    </row>
    <row r="11" spans="1:13" ht="42.75" customHeight="1" x14ac:dyDescent="0.25">
      <c r="A11" s="374" t="s">
        <v>134</v>
      </c>
      <c r="B11" s="375"/>
      <c r="C11" s="375"/>
      <c r="D11" s="375"/>
      <c r="E11" s="376"/>
      <c r="F11" s="85" t="s">
        <v>19</v>
      </c>
      <c r="G11" s="190" t="s">
        <v>0</v>
      </c>
      <c r="H11" s="88" t="s">
        <v>25</v>
      </c>
      <c r="I11" s="29"/>
      <c r="J11" s="25"/>
      <c r="K11" s="25"/>
      <c r="M11" t="s">
        <v>41</v>
      </c>
    </row>
    <row r="12" spans="1:13" ht="32.25" customHeight="1" x14ac:dyDescent="0.25">
      <c r="A12" s="373" t="s">
        <v>203</v>
      </c>
      <c r="B12" s="373"/>
      <c r="C12" s="373"/>
      <c r="D12" s="373"/>
      <c r="E12" s="373"/>
      <c r="F12" s="238"/>
      <c r="G12" s="188">
        <f>IF(F12="Y",H12,IF(F12="N",0,IF(F12="",0)))</f>
        <v>0</v>
      </c>
      <c r="H12" s="189">
        <v>5</v>
      </c>
      <c r="I12" s="29"/>
    </row>
    <row r="13" spans="1:13" ht="15" customHeight="1" x14ac:dyDescent="0.25">
      <c r="A13" s="334" t="s">
        <v>204</v>
      </c>
      <c r="B13" s="334"/>
      <c r="C13" s="334"/>
      <c r="D13" s="334"/>
      <c r="E13" s="334"/>
      <c r="F13" s="239"/>
      <c r="G13" s="185">
        <f t="shared" ref="G13:G27" si="0">IF(F13="Y",H13,IF(F13="N",0,IF(F13="",0)))</f>
        <v>0</v>
      </c>
      <c r="H13" s="186">
        <v>5</v>
      </c>
      <c r="I13" s="29"/>
    </row>
    <row r="14" spans="1:13" ht="15" customHeight="1" x14ac:dyDescent="0.25">
      <c r="A14" s="334" t="s">
        <v>205</v>
      </c>
      <c r="B14" s="334"/>
      <c r="C14" s="334"/>
      <c r="D14" s="334"/>
      <c r="E14" s="334"/>
      <c r="F14" s="239"/>
      <c r="G14" s="185">
        <f t="shared" si="0"/>
        <v>0</v>
      </c>
      <c r="H14" s="186">
        <v>5</v>
      </c>
      <c r="I14" s="29"/>
    </row>
    <row r="15" spans="1:13" ht="15" customHeight="1" x14ac:dyDescent="0.25">
      <c r="A15" s="334" t="s">
        <v>206</v>
      </c>
      <c r="B15" s="334"/>
      <c r="C15" s="334"/>
      <c r="D15" s="334"/>
      <c r="E15" s="334"/>
      <c r="F15" s="239"/>
      <c r="G15" s="185">
        <f t="shared" si="0"/>
        <v>0</v>
      </c>
      <c r="H15" s="186">
        <v>5</v>
      </c>
      <c r="I15" s="29"/>
    </row>
    <row r="16" spans="1:13" ht="32.25" customHeight="1" x14ac:dyDescent="0.25">
      <c r="A16" s="334" t="s">
        <v>207</v>
      </c>
      <c r="B16" s="334"/>
      <c r="C16" s="334"/>
      <c r="D16" s="334"/>
      <c r="E16" s="334"/>
      <c r="F16" s="239"/>
      <c r="G16" s="185">
        <f t="shared" si="0"/>
        <v>0</v>
      </c>
      <c r="H16" s="186">
        <v>5</v>
      </c>
      <c r="I16" s="29"/>
    </row>
    <row r="17" spans="1:13" x14ac:dyDescent="0.25">
      <c r="A17" s="334" t="s">
        <v>208</v>
      </c>
      <c r="B17" s="334"/>
      <c r="C17" s="334"/>
      <c r="D17" s="334"/>
      <c r="E17" s="334"/>
      <c r="F17" s="239"/>
      <c r="G17" s="185">
        <f t="shared" si="0"/>
        <v>0</v>
      </c>
      <c r="H17" s="186">
        <v>5</v>
      </c>
      <c r="I17" s="29"/>
      <c r="L17" s="4"/>
    </row>
    <row r="18" spans="1:13" ht="15" customHeight="1" x14ac:dyDescent="0.25">
      <c r="A18" s="334" t="s">
        <v>209</v>
      </c>
      <c r="B18" s="334"/>
      <c r="C18" s="334"/>
      <c r="D18" s="334"/>
      <c r="E18" s="334"/>
      <c r="F18" s="239"/>
      <c r="G18" s="185">
        <f t="shared" si="0"/>
        <v>0</v>
      </c>
      <c r="H18" s="186">
        <v>5</v>
      </c>
      <c r="I18" s="29"/>
      <c r="L18" s="4"/>
    </row>
    <row r="19" spans="1:13" ht="15" customHeight="1" x14ac:dyDescent="0.25">
      <c r="A19" s="334" t="s">
        <v>210</v>
      </c>
      <c r="B19" s="334"/>
      <c r="C19" s="334"/>
      <c r="D19" s="334"/>
      <c r="E19" s="334"/>
      <c r="F19" s="239"/>
      <c r="G19" s="185">
        <f t="shared" si="0"/>
        <v>0</v>
      </c>
      <c r="H19" s="186">
        <v>5</v>
      </c>
      <c r="I19" s="29"/>
    </row>
    <row r="20" spans="1:13" s="13" customFormat="1" ht="15" customHeight="1" x14ac:dyDescent="0.25">
      <c r="A20" s="334" t="s">
        <v>211</v>
      </c>
      <c r="B20" s="334"/>
      <c r="C20" s="334"/>
      <c r="D20" s="334"/>
      <c r="E20" s="334"/>
      <c r="F20" s="239"/>
      <c r="G20" s="185">
        <f t="shared" si="0"/>
        <v>0</v>
      </c>
      <c r="H20" s="186">
        <v>5</v>
      </c>
      <c r="I20" s="30"/>
      <c r="J20" s="32"/>
      <c r="K20" s="32"/>
    </row>
    <row r="21" spans="1:13" ht="32.25" customHeight="1" x14ac:dyDescent="0.25">
      <c r="A21" s="384" t="s">
        <v>212</v>
      </c>
      <c r="B21" s="384"/>
      <c r="C21" s="384"/>
      <c r="D21" s="384"/>
      <c r="E21" s="384"/>
      <c r="F21" s="240"/>
      <c r="G21" s="191">
        <f t="shared" si="0"/>
        <v>0</v>
      </c>
      <c r="H21" s="192">
        <v>5</v>
      </c>
      <c r="I21" s="29"/>
    </row>
    <row r="22" spans="1:13" ht="15" customHeight="1" x14ac:dyDescent="0.25">
      <c r="A22" s="326" t="s">
        <v>114</v>
      </c>
      <c r="B22" s="326"/>
      <c r="C22" s="326"/>
      <c r="D22" s="326"/>
      <c r="E22" s="326"/>
      <c r="F22" s="326"/>
      <c r="G22" s="72">
        <f>SUM(G12:G21)</f>
        <v>0</v>
      </c>
      <c r="H22" s="74">
        <f>SUM(H12:H21)</f>
        <v>50</v>
      </c>
      <c r="I22" s="4"/>
      <c r="J22" s="1"/>
      <c r="K22" s="1"/>
    </row>
    <row r="23" spans="1:13" s="49" customFormat="1" x14ac:dyDescent="0.25">
      <c r="A23" s="179"/>
      <c r="B23" s="179"/>
      <c r="C23" s="179"/>
      <c r="D23" s="179"/>
      <c r="E23" s="179"/>
      <c r="F23" s="180"/>
      <c r="G23" s="181"/>
      <c r="H23" s="182"/>
      <c r="I23" s="183"/>
      <c r="J23" s="184"/>
      <c r="K23" s="184"/>
    </row>
    <row r="24" spans="1:13" ht="41.25" x14ac:dyDescent="0.25">
      <c r="A24" s="314" t="s">
        <v>2</v>
      </c>
      <c r="B24" s="315"/>
      <c r="C24" s="315"/>
      <c r="D24" s="315"/>
      <c r="E24" s="316"/>
      <c r="F24" s="85" t="s">
        <v>19</v>
      </c>
      <c r="G24" s="190" t="s">
        <v>0</v>
      </c>
      <c r="H24" s="88" t="s">
        <v>25</v>
      </c>
      <c r="I24" s="29"/>
    </row>
    <row r="25" spans="1:13" x14ac:dyDescent="0.25">
      <c r="A25" s="300" t="s">
        <v>122</v>
      </c>
      <c r="B25" s="300"/>
      <c r="C25" s="300"/>
      <c r="D25" s="300"/>
      <c r="E25" s="300"/>
      <c r="F25" s="242"/>
      <c r="G25" s="188">
        <f t="shared" si="0"/>
        <v>0</v>
      </c>
      <c r="H25" s="189">
        <v>10</v>
      </c>
      <c r="I25" s="29"/>
    </row>
    <row r="26" spans="1:13" ht="15" customHeight="1" x14ac:dyDescent="0.25">
      <c r="A26" s="317" t="s">
        <v>213</v>
      </c>
      <c r="B26" s="317"/>
      <c r="C26" s="317"/>
      <c r="D26" s="317"/>
      <c r="E26" s="317"/>
      <c r="F26" s="243"/>
      <c r="G26" s="185">
        <f t="shared" si="0"/>
        <v>0</v>
      </c>
      <c r="H26" s="186">
        <v>10</v>
      </c>
      <c r="I26" s="29"/>
    </row>
    <row r="27" spans="1:13" ht="15" customHeight="1" x14ac:dyDescent="0.25">
      <c r="A27" s="317" t="s">
        <v>214</v>
      </c>
      <c r="B27" s="317"/>
      <c r="C27" s="317"/>
      <c r="D27" s="317"/>
      <c r="E27" s="317"/>
      <c r="F27" s="243"/>
      <c r="G27" s="185">
        <f t="shared" si="0"/>
        <v>0</v>
      </c>
      <c r="H27" s="186">
        <v>10</v>
      </c>
      <c r="I27" s="29"/>
    </row>
    <row r="28" spans="1:13" ht="15" customHeight="1" x14ac:dyDescent="0.25">
      <c r="A28" s="317" t="s">
        <v>215</v>
      </c>
      <c r="B28" s="317"/>
      <c r="C28" s="317"/>
      <c r="D28" s="317"/>
      <c r="E28" s="317"/>
      <c r="F28" s="243"/>
      <c r="G28" s="185">
        <f t="shared" ref="G28" si="1">IF(F28="Y",H28,IF(F28="N",0,IF(F28="",0)))</f>
        <v>0</v>
      </c>
      <c r="H28" s="186">
        <v>10</v>
      </c>
      <c r="I28" s="29"/>
    </row>
    <row r="29" spans="1:13" ht="27.75" customHeight="1" x14ac:dyDescent="0.25">
      <c r="A29" s="396" t="s">
        <v>241</v>
      </c>
      <c r="B29" s="396"/>
      <c r="C29" s="396"/>
      <c r="D29" s="396"/>
      <c r="E29" s="396"/>
      <c r="F29" s="244"/>
      <c r="G29" s="245">
        <f>IF(F29="NA",0,IF(F29="Y",H29,IF(F29="N",0,IF(F29="",0))))</f>
        <v>0</v>
      </c>
      <c r="H29" s="246">
        <f>IF(F29="NA",0,10)</f>
        <v>10</v>
      </c>
      <c r="I29" s="29"/>
    </row>
    <row r="30" spans="1:13" ht="15" customHeight="1" x14ac:dyDescent="0.25">
      <c r="A30" s="326" t="s">
        <v>116</v>
      </c>
      <c r="B30" s="326"/>
      <c r="C30" s="326"/>
      <c r="D30" s="326"/>
      <c r="E30" s="326"/>
      <c r="F30" s="326"/>
      <c r="G30" s="72">
        <f>SUM(G25:G29)</f>
        <v>0</v>
      </c>
      <c r="H30" s="74">
        <f>SUM(H25:H29)</f>
        <v>50</v>
      </c>
      <c r="I30" s="4"/>
      <c r="J30" s="1"/>
      <c r="K30" s="1"/>
    </row>
    <row r="31" spans="1:13" s="49" customFormat="1" x14ac:dyDescent="0.25">
      <c r="A31" s="179"/>
      <c r="B31" s="179"/>
      <c r="C31" s="179"/>
      <c r="D31" s="179"/>
      <c r="E31" s="179"/>
      <c r="F31" s="180"/>
      <c r="G31" s="181"/>
      <c r="H31" s="182"/>
      <c r="I31" s="183"/>
      <c r="J31" s="184"/>
      <c r="K31" s="184"/>
    </row>
    <row r="32" spans="1:13" ht="41.25" x14ac:dyDescent="0.25">
      <c r="A32" s="301" t="s">
        <v>66</v>
      </c>
      <c r="B32" s="301"/>
      <c r="C32" s="301"/>
      <c r="D32" s="301"/>
      <c r="E32" s="301"/>
      <c r="F32" s="85" t="s">
        <v>19</v>
      </c>
      <c r="G32" s="190" t="s">
        <v>0</v>
      </c>
      <c r="H32" s="88" t="s">
        <v>25</v>
      </c>
      <c r="I32" s="29"/>
      <c r="M32" t="str">
        <f>IF(F33="Y","PASS",IF(F33="N","CWIF"," "))</f>
        <v xml:space="preserve"> </v>
      </c>
    </row>
    <row r="33" spans="1:14" x14ac:dyDescent="0.25">
      <c r="A33" s="371" t="s">
        <v>216</v>
      </c>
      <c r="B33" s="371"/>
      <c r="C33" s="371"/>
      <c r="D33" s="371"/>
      <c r="E33" s="371"/>
      <c r="F33" s="226"/>
      <c r="G33" s="195">
        <f t="shared" ref="G33" si="2">IF(F33="Y",H33,IF(F33="N",0,IF(F33="",0)))</f>
        <v>0</v>
      </c>
      <c r="H33" s="196">
        <v>50</v>
      </c>
      <c r="I33" s="29"/>
      <c r="J33" s="25"/>
      <c r="K33" s="25"/>
    </row>
    <row r="34" spans="1:14" s="49" customFormat="1" x14ac:dyDescent="0.25">
      <c r="A34" s="179"/>
      <c r="B34" s="179"/>
      <c r="C34" s="179"/>
      <c r="D34" s="179"/>
      <c r="E34" s="179"/>
      <c r="F34" s="180"/>
      <c r="G34" s="181"/>
      <c r="H34" s="182"/>
      <c r="I34" s="183"/>
      <c r="J34" s="184"/>
      <c r="K34" s="184"/>
    </row>
    <row r="35" spans="1:14" ht="30" x14ac:dyDescent="0.25">
      <c r="A35" s="85" t="s">
        <v>68</v>
      </c>
      <c r="B35" s="85" t="s">
        <v>42</v>
      </c>
      <c r="C35" s="48"/>
      <c r="E35" s="330" t="s">
        <v>25</v>
      </c>
      <c r="F35" s="330"/>
      <c r="G35" s="330"/>
      <c r="H35" s="330"/>
      <c r="I35" s="29"/>
      <c r="J35" s="25"/>
      <c r="K35" s="25"/>
    </row>
    <row r="36" spans="1:14" x14ac:dyDescent="0.25">
      <c r="A36" s="89" t="s">
        <v>155</v>
      </c>
      <c r="B36" s="62"/>
      <c r="C36" s="134"/>
      <c r="D36" s="202"/>
      <c r="E36" s="187">
        <v>40</v>
      </c>
      <c r="F36" s="186">
        <v>30</v>
      </c>
      <c r="G36" s="186">
        <v>20</v>
      </c>
      <c r="H36" s="186">
        <v>0</v>
      </c>
      <c r="I36" s="29"/>
      <c r="J36" s="25"/>
      <c r="K36" s="25"/>
    </row>
    <row r="37" spans="1:14" x14ac:dyDescent="0.25">
      <c r="A37" s="90" t="s">
        <v>156</v>
      </c>
      <c r="B37" s="64"/>
      <c r="C37" s="305" t="s">
        <v>47</v>
      </c>
      <c r="D37" s="305"/>
      <c r="E37" s="209">
        <v>0</v>
      </c>
      <c r="F37" s="210" t="s">
        <v>4</v>
      </c>
      <c r="G37" s="186" t="s">
        <v>5</v>
      </c>
      <c r="H37" s="186" t="s">
        <v>6</v>
      </c>
      <c r="I37" s="30"/>
      <c r="J37" s="33"/>
      <c r="K37" s="25"/>
    </row>
    <row r="38" spans="1:14" s="19" customFormat="1" ht="27" customHeight="1" x14ac:dyDescent="0.25">
      <c r="A38" s="248" t="s">
        <v>149</v>
      </c>
      <c r="B38" s="229" t="str">
        <f>IF(B37="","",B36/B37)</f>
        <v/>
      </c>
      <c r="C38" s="347" t="s">
        <v>48</v>
      </c>
      <c r="D38" s="347"/>
      <c r="E38" s="187" t="s">
        <v>43</v>
      </c>
      <c r="F38" s="210" t="s">
        <v>46</v>
      </c>
      <c r="G38" s="186" t="s">
        <v>44</v>
      </c>
      <c r="H38" s="186" t="s">
        <v>45</v>
      </c>
      <c r="I38" s="249"/>
      <c r="J38" s="250"/>
      <c r="K38" s="251"/>
      <c r="M38" s="19" t="str">
        <f>IF(B37="","NA",IF(B39&lt;30,"KWIF","PASS"))</f>
        <v>NA</v>
      </c>
    </row>
    <row r="39" spans="1:14" x14ac:dyDescent="0.25">
      <c r="A39" s="101" t="s">
        <v>219</v>
      </c>
      <c r="B39" s="72">
        <f>IF(B37&lt;100,M40,M39)</f>
        <v>0</v>
      </c>
      <c r="C39" s="203"/>
      <c r="D39" s="206"/>
      <c r="E39" s="110" t="s">
        <v>151</v>
      </c>
      <c r="F39" s="111" t="s">
        <v>152</v>
      </c>
      <c r="G39" s="200" t="s">
        <v>153</v>
      </c>
      <c r="H39" s="112" t="s">
        <v>154</v>
      </c>
      <c r="J39" s="167"/>
      <c r="K39" s="25"/>
      <c r="M39" s="3">
        <f>IF(B37="",0,IF(B38=0,E36,IF((B38&gt;0)*(B38&lt;=0.01),F36,IF((B38&gt;0.01)*(B38&lt;=0.03),G36,IF(B38&gt;0.03,H36)))))</f>
        <v>0</v>
      </c>
      <c r="N39" t="s">
        <v>50</v>
      </c>
    </row>
    <row r="40" spans="1:14" ht="15" customHeight="1" x14ac:dyDescent="0.25">
      <c r="C40" s="203"/>
      <c r="D40" s="207"/>
      <c r="J40" s="167"/>
      <c r="K40" s="25"/>
      <c r="M40" s="3">
        <f>IF(B37="",0,IF(B36=0,E36,IF(B36=1,F36,IF(B36=2,G36,IF(B36&gt;2,H36)))))</f>
        <v>0</v>
      </c>
      <c r="N40" t="s">
        <v>51</v>
      </c>
    </row>
    <row r="41" spans="1:14" s="49" customFormat="1" x14ac:dyDescent="0.25">
      <c r="A41" s="179"/>
      <c r="B41" s="179"/>
      <c r="C41" s="204"/>
      <c r="D41" s="208"/>
      <c r="I41" s="183"/>
      <c r="J41" s="184"/>
      <c r="K41" s="184"/>
    </row>
    <row r="42" spans="1:14" ht="30" x14ac:dyDescent="0.25">
      <c r="A42" s="93" t="s">
        <v>69</v>
      </c>
      <c r="B42" s="93" t="s">
        <v>42</v>
      </c>
      <c r="E42" s="335" t="s">
        <v>25</v>
      </c>
      <c r="F42" s="335"/>
      <c r="G42" s="335"/>
      <c r="H42" s="335"/>
      <c r="I42" s="29"/>
    </row>
    <row r="43" spans="1:14" x14ac:dyDescent="0.25">
      <c r="A43" s="212" t="s">
        <v>242</v>
      </c>
      <c r="B43" s="254"/>
      <c r="C43" s="213"/>
      <c r="E43" s="71">
        <v>50</v>
      </c>
      <c r="F43" s="71">
        <v>45</v>
      </c>
      <c r="G43" s="70">
        <v>40</v>
      </c>
      <c r="H43" s="70">
        <v>0</v>
      </c>
      <c r="I43" s="29"/>
    </row>
    <row r="44" spans="1:14" x14ac:dyDescent="0.25">
      <c r="A44" s="89" t="s">
        <v>188</v>
      </c>
      <c r="B44" s="64"/>
      <c r="C44" s="391" t="s">
        <v>96</v>
      </c>
      <c r="D44" s="306"/>
      <c r="E44" s="217" t="s">
        <v>70</v>
      </c>
      <c r="F44" s="105" t="s">
        <v>71</v>
      </c>
      <c r="G44" s="106" t="s">
        <v>72</v>
      </c>
      <c r="H44" s="70" t="s">
        <v>73</v>
      </c>
      <c r="I44" s="29"/>
      <c r="J44" s="25"/>
      <c r="K44" s="25"/>
      <c r="M44" t="str">
        <f>IF(B45="","NA",IF((B47&lt;20),"CWIF","PASS"))</f>
        <v>NA</v>
      </c>
    </row>
    <row r="45" spans="1:14" ht="15" customHeight="1" x14ac:dyDescent="0.25">
      <c r="A45" s="90" t="s">
        <v>156</v>
      </c>
      <c r="B45" s="64"/>
      <c r="C45" s="391" t="s">
        <v>97</v>
      </c>
      <c r="D45" s="306"/>
      <c r="E45" s="106">
        <v>0</v>
      </c>
      <c r="F45" s="106" t="s">
        <v>95</v>
      </c>
      <c r="G45" s="106" t="s">
        <v>56</v>
      </c>
      <c r="H45" s="70" t="s">
        <v>57</v>
      </c>
      <c r="I45" s="29"/>
      <c r="J45" s="25"/>
      <c r="K45" s="25"/>
      <c r="M45" s="178">
        <f>IF(B45="",0,IF(((B43="N")*(B46&lt;=0.05)),E43,IF(((B43="N")*(B46&gt;0.05)*(B46&lt;=0.15)),F43,IF(((B43="N")*(B46&gt;0.15)*(B46&lt;=0.25)),G43,IF(((B43="N")*(B46&gt;0.25)),H43)))))</f>
        <v>0</v>
      </c>
      <c r="N45" s="19" t="s">
        <v>243</v>
      </c>
    </row>
    <row r="46" spans="1:14" s="19" customFormat="1" ht="24.75" customHeight="1" x14ac:dyDescent="0.25">
      <c r="A46" s="248" t="s">
        <v>220</v>
      </c>
      <c r="B46" s="229" t="str">
        <f>IF(B45="","",B44/B45)</f>
        <v/>
      </c>
      <c r="C46" s="392" t="s">
        <v>98</v>
      </c>
      <c r="D46" s="348"/>
      <c r="E46" s="186" t="s">
        <v>43</v>
      </c>
      <c r="F46" s="186" t="s">
        <v>115</v>
      </c>
      <c r="G46" s="186" t="s">
        <v>46</v>
      </c>
      <c r="H46" s="186" t="s">
        <v>49</v>
      </c>
      <c r="I46" s="252"/>
      <c r="J46" s="21"/>
      <c r="K46" s="21"/>
      <c r="M46" s="178">
        <f>IF(B45="",0,IF(((B43="Y")*(B46=0)),E43,IF(((B43="Y")*(B46&gt;0)*(B46&lt;=0.025)),F43,IF(((B43="Y")*(B46&gt;0.025)*(B46&lt;=0.05)),G43,IF(((B43="Y")*(B46&gt;0.05)),H43)))))</f>
        <v>0</v>
      </c>
      <c r="N46" s="19" t="s">
        <v>244</v>
      </c>
    </row>
    <row r="47" spans="1:14" ht="26.25" customHeight="1" x14ac:dyDescent="0.25">
      <c r="A47" s="100" t="s">
        <v>150</v>
      </c>
      <c r="B47" s="72">
        <f>IF(B45="",0,IF(((B43="Y")*(B45&lt;100)),M47,IF(((B43="Y")*(B45&gt;99)),M46,IF(B43="N",M45,0))))</f>
        <v>0</v>
      </c>
      <c r="E47" s="110" t="s">
        <v>151</v>
      </c>
      <c r="F47" s="201" t="s">
        <v>217</v>
      </c>
      <c r="G47" s="111" t="s">
        <v>152</v>
      </c>
      <c r="H47" s="112" t="s">
        <v>154</v>
      </c>
      <c r="I47" s="29"/>
      <c r="M47" s="3">
        <f>IF(B45="",0,IF(((B43="Y")*(B44=0)),E43,IF(((B43="Y")*(B44=1)),G43,IF(((B43="Y")*(B44&gt;1)),H43))))</f>
        <v>0</v>
      </c>
      <c r="N47" t="s">
        <v>51</v>
      </c>
    </row>
    <row r="48" spans="1:14" x14ac:dyDescent="0.25">
      <c r="I48" s="29"/>
    </row>
    <row r="49" spans="1:14" ht="30" x14ac:dyDescent="0.25">
      <c r="A49" s="85" t="s">
        <v>76</v>
      </c>
      <c r="B49" s="85" t="s">
        <v>42</v>
      </c>
      <c r="C49" s="205"/>
      <c r="D49" s="207"/>
      <c r="E49" s="330" t="s">
        <v>25</v>
      </c>
      <c r="F49" s="330"/>
      <c r="G49" s="330"/>
      <c r="H49" s="330"/>
      <c r="I49" s="29"/>
      <c r="J49" s="25"/>
      <c r="K49" s="25"/>
    </row>
    <row r="50" spans="1:14" x14ac:dyDescent="0.25">
      <c r="A50" s="90" t="s">
        <v>221</v>
      </c>
      <c r="B50" s="228"/>
      <c r="C50" s="48"/>
      <c r="D50" s="207"/>
      <c r="E50" s="71">
        <v>40</v>
      </c>
      <c r="F50" s="70">
        <v>30</v>
      </c>
      <c r="G50" s="70">
        <v>20</v>
      </c>
      <c r="H50" s="70">
        <v>0</v>
      </c>
      <c r="I50" s="29"/>
      <c r="J50" s="25"/>
      <c r="K50" s="25"/>
    </row>
    <row r="51" spans="1:14" ht="15.75" x14ac:dyDescent="0.25">
      <c r="A51" s="90" t="s">
        <v>156</v>
      </c>
      <c r="B51" s="228"/>
      <c r="C51" s="305" t="s">
        <v>47</v>
      </c>
      <c r="D51" s="305"/>
      <c r="E51" s="105">
        <v>0</v>
      </c>
      <c r="F51" s="106" t="s">
        <v>285</v>
      </c>
      <c r="G51" s="70" t="s">
        <v>286</v>
      </c>
      <c r="H51" s="70" t="s">
        <v>9</v>
      </c>
      <c r="I51" s="29"/>
      <c r="J51" s="25"/>
      <c r="K51" s="25"/>
      <c r="M51" t="str">
        <f>IF(B51="","NA",IF((B53&lt;30),"KWIF","PASS"))</f>
        <v>NA</v>
      </c>
    </row>
    <row r="52" spans="1:14" s="19" customFormat="1" ht="25.5" customHeight="1" x14ac:dyDescent="0.25">
      <c r="A52" s="248" t="s">
        <v>222</v>
      </c>
      <c r="B52" s="229" t="str">
        <f>IF(B51="","",B50/B51)</f>
        <v/>
      </c>
      <c r="C52" s="347" t="s">
        <v>48</v>
      </c>
      <c r="D52" s="347"/>
      <c r="E52" s="187" t="s">
        <v>43</v>
      </c>
      <c r="F52" s="210" t="s">
        <v>46</v>
      </c>
      <c r="G52" s="186" t="s">
        <v>44</v>
      </c>
      <c r="H52" s="186" t="s">
        <v>45</v>
      </c>
      <c r="I52" s="249"/>
      <c r="J52" s="250"/>
      <c r="K52" s="251"/>
      <c r="M52" s="178">
        <f>IF(B51="",0,IF(B52=0,E50,IF((B52&gt;0)*(B52&lt;=0.05),F50,IF((B52&gt;0.05)*(B52&lt;=0.1),G50,IF(B52&gt;0.1,H50)))))</f>
        <v>0</v>
      </c>
      <c r="N52" s="19" t="s">
        <v>50</v>
      </c>
    </row>
    <row r="53" spans="1:14" x14ac:dyDescent="0.25">
      <c r="A53" s="101" t="s">
        <v>157</v>
      </c>
      <c r="B53" s="188">
        <f>IF(B51&lt;100,M53,M52)</f>
        <v>0</v>
      </c>
      <c r="E53" s="110" t="s">
        <v>151</v>
      </c>
      <c r="F53" s="111" t="s">
        <v>152</v>
      </c>
      <c r="G53" s="200" t="s">
        <v>153</v>
      </c>
      <c r="H53" s="112" t="s">
        <v>154</v>
      </c>
      <c r="I53" s="30"/>
      <c r="J53" s="33"/>
      <c r="K53" s="25"/>
      <c r="M53" s="3">
        <f>IF(B51="",0,IF(B50=0,E50,IF(B50=1,F50,IF(B50=2,G50,IF(B50&gt;1,H50)))))</f>
        <v>0</v>
      </c>
      <c r="N53" t="s">
        <v>51</v>
      </c>
    </row>
    <row r="54" spans="1:14" x14ac:dyDescent="0.25">
      <c r="C54" s="8"/>
      <c r="E54" s="117"/>
      <c r="F54" s="117"/>
      <c r="G54" s="117"/>
      <c r="H54" s="115"/>
      <c r="I54" s="29"/>
    </row>
    <row r="55" spans="1:14" ht="30.75" customHeight="1" x14ac:dyDescent="0.25">
      <c r="A55" s="393" t="s">
        <v>77</v>
      </c>
      <c r="B55" s="393"/>
      <c r="C55" s="398" t="s">
        <v>271</v>
      </c>
      <c r="D55" s="399"/>
      <c r="E55" s="399"/>
      <c r="F55" s="399"/>
      <c r="G55" s="399"/>
      <c r="H55" s="399"/>
      <c r="M55" s="49" t="str">
        <f>IF((COUNTIF(M57:M82,"CWIF")),"CWIF","PASS")</f>
        <v>PASS</v>
      </c>
    </row>
    <row r="56" spans="1:14" ht="30" customHeight="1" x14ac:dyDescent="0.25">
      <c r="A56" s="85" t="s">
        <v>91</v>
      </c>
      <c r="B56" s="85" t="s">
        <v>42</v>
      </c>
      <c r="E56" s="335" t="s">
        <v>25</v>
      </c>
      <c r="F56" s="335"/>
      <c r="G56" s="335"/>
      <c r="H56" s="335"/>
      <c r="J56" s="25"/>
      <c r="K56" s="25"/>
    </row>
    <row r="57" spans="1:14" x14ac:dyDescent="0.25">
      <c r="A57" s="89" t="s">
        <v>223</v>
      </c>
      <c r="B57" s="62"/>
      <c r="C57" s="7"/>
      <c r="E57" s="214">
        <v>50</v>
      </c>
      <c r="F57" s="369">
        <v>40</v>
      </c>
      <c r="G57" s="370"/>
      <c r="H57" s="70">
        <v>0</v>
      </c>
      <c r="J57" s="25"/>
      <c r="K57" s="25"/>
      <c r="M57" t="str">
        <f>IF(B58="","NA",IF(B60&lt;40,"CWIF","PASS"))</f>
        <v>NA</v>
      </c>
    </row>
    <row r="58" spans="1:14" ht="15" customHeight="1" x14ac:dyDescent="0.25">
      <c r="A58" s="90" t="s">
        <v>156</v>
      </c>
      <c r="B58" s="64"/>
      <c r="C58" s="305" t="s">
        <v>225</v>
      </c>
      <c r="D58" s="306"/>
      <c r="E58" s="215">
        <v>1</v>
      </c>
      <c r="F58" s="367" t="s">
        <v>78</v>
      </c>
      <c r="G58" s="368"/>
      <c r="H58" s="186" t="s">
        <v>79</v>
      </c>
      <c r="J58" s="25"/>
      <c r="K58" s="25"/>
      <c r="M58" s="3">
        <f>IF(B58="NA",0,IF(B59="",0,IF(B59=1,E57,IF((B59&lt;1)*(B59&gt;=0.96),F57,IF(B59&lt;0.96,G57)))))</f>
        <v>0</v>
      </c>
      <c r="N58" t="s">
        <v>50</v>
      </c>
    </row>
    <row r="59" spans="1:14" ht="30" customHeight="1" x14ac:dyDescent="0.25">
      <c r="A59" s="102" t="s">
        <v>224</v>
      </c>
      <c r="B59" s="218" t="str">
        <f>IF(B58="","",B57/B58)</f>
        <v/>
      </c>
      <c r="C59" s="305" t="s">
        <v>226</v>
      </c>
      <c r="D59" s="306"/>
      <c r="E59" s="216" t="s">
        <v>227</v>
      </c>
      <c r="F59" s="365" t="s">
        <v>228</v>
      </c>
      <c r="G59" s="366"/>
      <c r="H59" s="217" t="s">
        <v>229</v>
      </c>
      <c r="M59" s="3">
        <f>IF(B59="NA",0,IF(B58="",0,IF(((B58-B57)=0),E57,IF(((B58-B57)=1),F57,IF(((B58-B57)&gt;1),H57)))))</f>
        <v>0</v>
      </c>
      <c r="N59" t="s">
        <v>51</v>
      </c>
    </row>
    <row r="60" spans="1:14" x14ac:dyDescent="0.25">
      <c r="A60" s="101" t="s">
        <v>230</v>
      </c>
      <c r="B60" s="72">
        <f>IF(B58="NA",0,IF(B58="",0,IF(B58&lt;40,M59,M58)))</f>
        <v>0</v>
      </c>
      <c r="C60" s="8"/>
      <c r="E60" s="110" t="s">
        <v>151</v>
      </c>
      <c r="F60" s="363" t="s">
        <v>152</v>
      </c>
      <c r="G60" s="364"/>
      <c r="H60" s="112" t="s">
        <v>154</v>
      </c>
    </row>
    <row r="61" spans="1:14" ht="27.75" customHeight="1" x14ac:dyDescent="0.25">
      <c r="A61" s="219"/>
      <c r="B61" s="219"/>
      <c r="C61" s="219"/>
      <c r="D61" s="219"/>
      <c r="E61" s="219"/>
      <c r="F61" s="219"/>
      <c r="G61" s="219"/>
      <c r="H61" s="219"/>
    </row>
    <row r="62" spans="1:14" ht="28.5" x14ac:dyDescent="0.25">
      <c r="A62" s="85" t="s">
        <v>89</v>
      </c>
      <c r="B62" s="85" t="s">
        <v>42</v>
      </c>
      <c r="H62" s="29"/>
      <c r="I62" s="29"/>
      <c r="K62" s="1"/>
    </row>
    <row r="63" spans="1:14" ht="15" customHeight="1" x14ac:dyDescent="0.25">
      <c r="A63" s="162" t="s">
        <v>156</v>
      </c>
      <c r="B63" s="276"/>
      <c r="C63" s="7"/>
      <c r="D63" s="167"/>
      <c r="F63" s="388" t="s">
        <v>25</v>
      </c>
      <c r="G63" s="388"/>
      <c r="H63" s="388"/>
      <c r="I63" s="29"/>
      <c r="J63" s="25"/>
      <c r="K63"/>
    </row>
    <row r="64" spans="1:14" x14ac:dyDescent="0.25">
      <c r="A64" s="164" t="s">
        <v>245</v>
      </c>
      <c r="B64" s="228"/>
      <c r="C64" s="134"/>
      <c r="E64" s="18"/>
      <c r="F64" s="71">
        <v>10</v>
      </c>
      <c r="G64" s="71">
        <v>5</v>
      </c>
      <c r="H64" s="71">
        <v>0</v>
      </c>
      <c r="I64" s="255"/>
      <c r="J64" s="25"/>
      <c r="K64"/>
      <c r="M64" t="str">
        <f>IF(B71="","NA",IF(B66&lt;5,"CWIF","PASS"))</f>
        <v>NA</v>
      </c>
    </row>
    <row r="65" spans="1:14" ht="15" customHeight="1" x14ac:dyDescent="0.25">
      <c r="A65" s="164" t="s">
        <v>251</v>
      </c>
      <c r="B65" s="277" t="str">
        <f>IF(B63="","",B64/B63)</f>
        <v/>
      </c>
      <c r="C65" s="134"/>
      <c r="D65" s="305" t="s">
        <v>47</v>
      </c>
      <c r="E65" s="306"/>
      <c r="F65" s="258">
        <v>1</v>
      </c>
      <c r="G65" s="259">
        <v>0.99</v>
      </c>
      <c r="H65" s="70" t="s">
        <v>85</v>
      </c>
      <c r="I65" s="255"/>
      <c r="J65" s="25"/>
      <c r="K65"/>
      <c r="M65" s="3">
        <f>IF(B63="",0,IF(B65=1,F64,IF((B65&lt;1)*(B65&gt;=0.99),G64,IF(B65&lt;0.99,H64))))</f>
        <v>0</v>
      </c>
      <c r="N65" t="s">
        <v>50</v>
      </c>
    </row>
    <row r="66" spans="1:14" ht="24.75" customHeight="1" x14ac:dyDescent="0.25">
      <c r="A66" s="193" t="s">
        <v>246</v>
      </c>
      <c r="B66" s="191" t="str">
        <f>IF(B63="","",IF(B63&lt;100,M66,M65))</f>
        <v/>
      </c>
      <c r="C66" s="211"/>
      <c r="D66" s="347" t="s">
        <v>48</v>
      </c>
      <c r="E66" s="348"/>
      <c r="F66" s="260" t="s">
        <v>253</v>
      </c>
      <c r="G66" s="261" t="s">
        <v>254</v>
      </c>
      <c r="H66" s="262" t="s">
        <v>255</v>
      </c>
      <c r="I66" s="255"/>
      <c r="J66" s="25"/>
      <c r="K66"/>
      <c r="M66" s="3">
        <f>IF(B63="",0,IF(B63=B64,F64,IF(B63-B64=1,G64,IF(B63-B64&gt;1,H64))))</f>
        <v>0</v>
      </c>
      <c r="N66" t="s">
        <v>51</v>
      </c>
    </row>
    <row r="67" spans="1:14" x14ac:dyDescent="0.25">
      <c r="A67" s="162" t="s">
        <v>223</v>
      </c>
      <c r="B67" s="276"/>
      <c r="C67" s="134"/>
      <c r="D67" s="202"/>
      <c r="E67" s="265"/>
      <c r="F67" s="166">
        <v>20</v>
      </c>
      <c r="G67" s="73">
        <v>15</v>
      </c>
      <c r="H67" s="73">
        <v>0</v>
      </c>
      <c r="I67" s="255"/>
      <c r="J67" s="25"/>
      <c r="K67"/>
      <c r="M67" t="str">
        <f>IF(B63="","NA",IF(B69&lt;15,"CWIF","PASS"))</f>
        <v>NA</v>
      </c>
    </row>
    <row r="68" spans="1:14" ht="15" customHeight="1" x14ac:dyDescent="0.25">
      <c r="A68" s="164" t="s">
        <v>247</v>
      </c>
      <c r="B68" s="277" t="str">
        <f>IF(B63="","",B67/B63)</f>
        <v/>
      </c>
      <c r="C68" s="134"/>
      <c r="D68" s="305" t="s">
        <v>47</v>
      </c>
      <c r="E68" s="306"/>
      <c r="F68" s="258">
        <v>1</v>
      </c>
      <c r="G68" s="70" t="s">
        <v>86</v>
      </c>
      <c r="H68" s="70" t="s">
        <v>87</v>
      </c>
      <c r="I68" s="255"/>
      <c r="J68" s="25"/>
      <c r="K68"/>
      <c r="M68" s="3">
        <f>IF(B63="",0,IF(B68=1,F67,IF((B68&lt;1)*(B68&gt;=0.98),G67,IF(B68&lt;0.98,H67))))</f>
        <v>0</v>
      </c>
      <c r="N68" t="s">
        <v>50</v>
      </c>
    </row>
    <row r="69" spans="1:14" ht="24.75" customHeight="1" x14ac:dyDescent="0.25">
      <c r="A69" s="193" t="s">
        <v>248</v>
      </c>
      <c r="B69" s="191" t="str">
        <f>IF(B63="","",IF(B63&lt;100,M69,M68))</f>
        <v/>
      </c>
      <c r="C69" s="134"/>
      <c r="D69" s="347" t="s">
        <v>48</v>
      </c>
      <c r="E69" s="348"/>
      <c r="F69" s="260" t="s">
        <v>227</v>
      </c>
      <c r="G69" s="261" t="s">
        <v>256</v>
      </c>
      <c r="H69" s="262" t="s">
        <v>257</v>
      </c>
      <c r="I69" s="255"/>
      <c r="J69" s="25"/>
      <c r="K69"/>
      <c r="M69" s="3">
        <f>IF(63="",0,IF(B63=B67,F67,IF(B63-B67=1,G67,IF(B63-B67&gt;1,H67))))</f>
        <v>20</v>
      </c>
      <c r="N69" t="s">
        <v>51</v>
      </c>
    </row>
    <row r="70" spans="1:14" ht="15" customHeight="1" x14ac:dyDescent="0.25">
      <c r="A70" s="162" t="s">
        <v>249</v>
      </c>
      <c r="B70" s="276"/>
      <c r="C70" s="211"/>
      <c r="D70" s="202"/>
      <c r="E70" s="247"/>
      <c r="F70" s="166">
        <v>20</v>
      </c>
      <c r="G70" s="73">
        <v>15</v>
      </c>
      <c r="H70" s="73">
        <v>0</v>
      </c>
      <c r="I70" s="255"/>
      <c r="J70" s="25"/>
      <c r="K70"/>
      <c r="M70" t="str">
        <f>IF(B63="","NA",IF(B72&lt;15,"CWIF","PASS"))</f>
        <v>NA</v>
      </c>
    </row>
    <row r="71" spans="1:14" ht="15" customHeight="1" x14ac:dyDescent="0.25">
      <c r="A71" s="164" t="s">
        <v>252</v>
      </c>
      <c r="B71" s="230" t="str">
        <f>IF(B63="","",B70/B63)</f>
        <v/>
      </c>
      <c r="C71" s="133"/>
      <c r="D71" s="305" t="s">
        <v>47</v>
      </c>
      <c r="E71" s="306"/>
      <c r="F71" s="105">
        <v>0</v>
      </c>
      <c r="G71" s="106" t="s">
        <v>4</v>
      </c>
      <c r="H71" s="70" t="s">
        <v>88</v>
      </c>
      <c r="I71" s="255"/>
      <c r="K71" s="1"/>
      <c r="M71" s="3">
        <f>IF(B63="",0,IF(B71=0,F70,IF((B71&gt;0)*(B71&lt;=0.01),G70,IF(B71&gt;0.01,H70))))</f>
        <v>0</v>
      </c>
      <c r="N71" t="s">
        <v>50</v>
      </c>
    </row>
    <row r="72" spans="1:14" ht="24.75" customHeight="1" x14ac:dyDescent="0.25">
      <c r="A72" s="193" t="s">
        <v>250</v>
      </c>
      <c r="B72" s="191" t="str">
        <f>IF(B63="","",IF(B63&lt;100,M72,M71))</f>
        <v/>
      </c>
      <c r="C72" s="225"/>
      <c r="D72" s="347" t="s">
        <v>48</v>
      </c>
      <c r="E72" s="348"/>
      <c r="F72" s="263" t="s">
        <v>258</v>
      </c>
      <c r="G72" s="215" t="s">
        <v>259</v>
      </c>
      <c r="H72" s="264" t="s">
        <v>260</v>
      </c>
      <c r="I72" s="256"/>
      <c r="K72" s="1"/>
      <c r="M72" s="3">
        <f>IF(B63="",0,IF(B70=0,F70,IF(B70=1,G70,IF(B70&gt;1,H70))))</f>
        <v>0</v>
      </c>
      <c r="N72" t="s">
        <v>51</v>
      </c>
    </row>
    <row r="73" spans="1:14" x14ac:dyDescent="0.25">
      <c r="A73" s="101" t="s">
        <v>230</v>
      </c>
      <c r="B73" s="188">
        <f>SUM(B72,B69,B66)</f>
        <v>0</v>
      </c>
      <c r="C73" s="225"/>
      <c r="D73" s="122"/>
      <c r="E73" s="266"/>
      <c r="F73" s="110" t="s">
        <v>151</v>
      </c>
      <c r="G73" s="111" t="s">
        <v>152</v>
      </c>
      <c r="H73" s="112" t="s">
        <v>154</v>
      </c>
      <c r="I73" s="256"/>
      <c r="K73" s="1"/>
    </row>
    <row r="74" spans="1:14" x14ac:dyDescent="0.25">
      <c r="B74" s="28"/>
      <c r="C74" s="225"/>
      <c r="D74" s="135"/>
      <c r="E74" s="132"/>
      <c r="F74" s="131"/>
      <c r="G74" s="256"/>
      <c r="H74" s="256"/>
      <c r="I74" s="256"/>
      <c r="K74" s="1"/>
    </row>
    <row r="75" spans="1:14" ht="30" x14ac:dyDescent="0.35">
      <c r="A75" s="85" t="s">
        <v>90</v>
      </c>
      <c r="B75" s="85" t="s">
        <v>42</v>
      </c>
      <c r="C75" s="389" t="s">
        <v>272</v>
      </c>
      <c r="D75" s="390"/>
      <c r="E75" s="390"/>
      <c r="F75" s="390"/>
      <c r="G75" s="390"/>
      <c r="H75" s="390"/>
      <c r="K75" s="1"/>
    </row>
    <row r="76" spans="1:14" s="19" customFormat="1" x14ac:dyDescent="0.25">
      <c r="A76" s="270" t="s">
        <v>261</v>
      </c>
      <c r="B76" s="276"/>
      <c r="C76" s="271"/>
      <c r="D76" s="9"/>
      <c r="E76" s="9"/>
      <c r="F76" s="385" t="s">
        <v>25</v>
      </c>
      <c r="G76" s="386"/>
      <c r="H76" s="387"/>
      <c r="I76" s="21"/>
      <c r="J76" s="251"/>
    </row>
    <row r="77" spans="1:14" s="19" customFormat="1" ht="15" customHeight="1" x14ac:dyDescent="0.25">
      <c r="A77" s="253" t="s">
        <v>262</v>
      </c>
      <c r="B77" s="228"/>
      <c r="C77" s="272"/>
      <c r="D77" s="273"/>
      <c r="E77" s="273"/>
      <c r="F77" s="267">
        <v>25</v>
      </c>
      <c r="G77" s="186">
        <v>20</v>
      </c>
      <c r="H77" s="186">
        <v>0</v>
      </c>
      <c r="I77" s="252"/>
      <c r="J77" s="251"/>
      <c r="M77" t="str">
        <f>IF(B77="","NA",IF(B79&lt;15,"CWIF","PASS"))</f>
        <v>NA</v>
      </c>
      <c r="N77"/>
    </row>
    <row r="78" spans="1:14" s="19" customFormat="1" x14ac:dyDescent="0.25">
      <c r="A78" s="253" t="s">
        <v>263</v>
      </c>
      <c r="B78" s="230" t="str">
        <f>IF(B77="","",B76/B77)</f>
        <v/>
      </c>
      <c r="C78" s="274"/>
      <c r="D78" s="347" t="s">
        <v>265</v>
      </c>
      <c r="E78" s="348"/>
      <c r="F78" s="215">
        <v>0</v>
      </c>
      <c r="G78" s="210" t="s">
        <v>92</v>
      </c>
      <c r="H78" s="186" t="s">
        <v>93</v>
      </c>
      <c r="I78" s="21"/>
      <c r="J78" s="21"/>
      <c r="K78" s="9"/>
      <c r="M78" s="3">
        <f>IF(B77="",0,IF(B78=0,F77,IF((B78&gt;0)*(B78&lt;=0.04),G77,IF(B78&gt;0.04,H77))))</f>
        <v>0</v>
      </c>
      <c r="N78" t="s">
        <v>50</v>
      </c>
    </row>
    <row r="79" spans="1:14" s="19" customFormat="1" ht="24" customHeight="1" x14ac:dyDescent="0.25">
      <c r="A79" s="248" t="s">
        <v>264</v>
      </c>
      <c r="B79" s="191" t="str">
        <f>IF(B63="","",IF(B63&lt;25,M79,M78))</f>
        <v/>
      </c>
      <c r="C79" s="272"/>
      <c r="D79" s="347" t="s">
        <v>266</v>
      </c>
      <c r="E79" s="348"/>
      <c r="F79" s="192" t="s">
        <v>267</v>
      </c>
      <c r="G79" s="268" t="s">
        <v>268</v>
      </c>
      <c r="H79" s="77" t="s">
        <v>269</v>
      </c>
      <c r="I79" s="21"/>
      <c r="J79" s="21"/>
      <c r="K79" s="9"/>
      <c r="M79" s="3">
        <f>IF(B77="",0,IF(B76=0,F77,IF(B76=1,G77,IF(B76&gt;1,H77))))</f>
        <v>0</v>
      </c>
      <c r="N79" t="s">
        <v>51</v>
      </c>
    </row>
    <row r="80" spans="1:14" s="19" customFormat="1" x14ac:dyDescent="0.25">
      <c r="A80" s="270" t="s">
        <v>156</v>
      </c>
      <c r="B80" s="276"/>
      <c r="C80" s="271"/>
      <c r="D80" s="275"/>
      <c r="E80" s="273"/>
      <c r="F80" s="269">
        <v>25</v>
      </c>
      <c r="G80" s="189">
        <v>20</v>
      </c>
      <c r="H80" s="189">
        <v>0</v>
      </c>
      <c r="I80" s="252"/>
      <c r="J80" s="251"/>
    </row>
    <row r="81" spans="1:14" s="19" customFormat="1" ht="15" customHeight="1" x14ac:dyDescent="0.25">
      <c r="A81" s="253" t="s">
        <v>223</v>
      </c>
      <c r="B81" s="228"/>
      <c r="C81" s="272"/>
      <c r="D81" s="347" t="s">
        <v>47</v>
      </c>
      <c r="E81" s="348"/>
      <c r="F81" s="215">
        <v>1</v>
      </c>
      <c r="G81" s="210" t="s">
        <v>86</v>
      </c>
      <c r="H81" s="186" t="s">
        <v>87</v>
      </c>
      <c r="I81" s="252"/>
      <c r="J81" s="251"/>
    </row>
    <row r="82" spans="1:14" s="19" customFormat="1" ht="24" customHeight="1" x14ac:dyDescent="0.25">
      <c r="A82" s="253" t="s">
        <v>247</v>
      </c>
      <c r="B82" s="230" t="str">
        <f>IF(B77="","",B81/B80)</f>
        <v/>
      </c>
      <c r="C82" s="274"/>
      <c r="D82" s="347" t="s">
        <v>48</v>
      </c>
      <c r="E82" s="348"/>
      <c r="F82" s="289" t="s">
        <v>227</v>
      </c>
      <c r="G82" s="290" t="s">
        <v>256</v>
      </c>
      <c r="H82" s="291" t="s">
        <v>257</v>
      </c>
      <c r="I82" s="252"/>
      <c r="J82" s="21"/>
      <c r="K82" s="9"/>
      <c r="M82" s="19" t="str">
        <f>IF(B82="","NA",IF(B83&lt;40,"CWIF","PASS"))</f>
        <v>NA</v>
      </c>
    </row>
    <row r="83" spans="1:14" s="19" customFormat="1" x14ac:dyDescent="0.25">
      <c r="A83" s="248" t="s">
        <v>248</v>
      </c>
      <c r="B83" s="191">
        <f>IF(B80="",M83,IF(B80&lt;100,M84,M83))</f>
        <v>0</v>
      </c>
      <c r="C83" s="272"/>
      <c r="D83" s="275"/>
      <c r="E83" s="273"/>
      <c r="F83" s="278" t="s">
        <v>151</v>
      </c>
      <c r="G83" s="279" t="s">
        <v>152</v>
      </c>
      <c r="H83" s="280" t="s">
        <v>154</v>
      </c>
      <c r="I83" s="38"/>
      <c r="J83" s="21"/>
      <c r="K83" s="9"/>
      <c r="M83" s="178">
        <f>IF(B80="",0,IF(B82=1,F80,IF((B82&lt;1)*(B82&gt;=0.98),G80,IF(B82&lt;0.98,H80))))</f>
        <v>0</v>
      </c>
      <c r="N83" s="19" t="s">
        <v>50</v>
      </c>
    </row>
    <row r="84" spans="1:14" x14ac:dyDescent="0.25">
      <c r="A84" s="101" t="s">
        <v>230</v>
      </c>
      <c r="B84" s="72">
        <f>SUM(B83,B79)</f>
        <v>0</v>
      </c>
      <c r="C84" s="211"/>
      <c r="D84" s="135"/>
      <c r="E84" s="132"/>
      <c r="F84" s="131"/>
      <c r="G84" s="32"/>
      <c r="H84" s="32"/>
      <c r="I84" s="32"/>
      <c r="K84" s="1"/>
      <c r="M84" s="3">
        <f>IF(B80="",0,IF(B80=B81,F80,IF(B80-B81=1,G80,IF(B80-B81&gt;1,H80))))</f>
        <v>0</v>
      </c>
      <c r="N84" t="s">
        <v>51</v>
      </c>
    </row>
    <row r="85" spans="1:14" ht="15" customHeight="1" x14ac:dyDescent="0.25">
      <c r="C85" s="133"/>
      <c r="D85" s="133"/>
      <c r="E85" s="133"/>
      <c r="F85" s="133"/>
      <c r="J85" s="167"/>
      <c r="K85" s="25"/>
    </row>
    <row r="86" spans="1:14" ht="30" x14ac:dyDescent="0.25">
      <c r="A86" s="85" t="s">
        <v>80</v>
      </c>
      <c r="B86" s="85" t="s">
        <v>42</v>
      </c>
      <c r="G86" s="335" t="s">
        <v>25</v>
      </c>
      <c r="H86" s="335"/>
      <c r="I86" s="29"/>
    </row>
    <row r="87" spans="1:14" x14ac:dyDescent="0.25">
      <c r="A87" s="89" t="s">
        <v>232</v>
      </c>
      <c r="B87" s="62"/>
      <c r="C87" s="104"/>
      <c r="D87" s="104"/>
      <c r="E87" s="104"/>
      <c r="F87" s="104"/>
      <c r="G87" s="214">
        <v>50</v>
      </c>
      <c r="H87" s="70">
        <v>0</v>
      </c>
      <c r="I87" s="29"/>
      <c r="J87" s="25"/>
      <c r="K87" s="25"/>
    </row>
    <row r="88" spans="1:14" ht="15" customHeight="1" x14ac:dyDescent="0.25">
      <c r="A88" s="90" t="s">
        <v>156</v>
      </c>
      <c r="B88" s="64"/>
      <c r="C88" s="47"/>
      <c r="D88" s="377"/>
      <c r="E88" s="377"/>
      <c r="F88" s="220"/>
      <c r="G88" s="215">
        <v>1</v>
      </c>
      <c r="H88" s="186" t="s">
        <v>81</v>
      </c>
      <c r="I88" s="29"/>
      <c r="J88" s="25"/>
      <c r="K88" s="25"/>
    </row>
    <row r="89" spans="1:14" x14ac:dyDescent="0.25">
      <c r="A89" s="102" t="s">
        <v>233</v>
      </c>
      <c r="B89" s="218" t="str">
        <f>IF(B88="","",B87/B88)</f>
        <v/>
      </c>
      <c r="C89" s="48"/>
      <c r="D89" s="135"/>
      <c r="E89" s="131"/>
      <c r="F89" s="136"/>
      <c r="G89" s="111" t="s">
        <v>152</v>
      </c>
      <c r="H89" s="112" t="s">
        <v>154</v>
      </c>
      <c r="I89" s="29"/>
      <c r="M89" t="str">
        <f>IF(B89="","NA",IF(B89&lt;0.1,"CWIF","PASS"))</f>
        <v>NA</v>
      </c>
    </row>
    <row r="90" spans="1:14" x14ac:dyDescent="0.25">
      <c r="A90" s="101" t="s">
        <v>174</v>
      </c>
      <c r="B90" s="72">
        <f>IF(B88="",0,IF(B89=1,G87,IF(B89&lt;1,H87)))</f>
        <v>0</v>
      </c>
      <c r="C90" s="47"/>
      <c r="D90" s="222"/>
      <c r="E90" s="132"/>
      <c r="F90" s="136"/>
      <c r="G90" s="4"/>
      <c r="H90" s="29"/>
      <c r="I90" s="29"/>
    </row>
    <row r="91" spans="1:14" ht="15" customHeight="1" x14ac:dyDescent="0.25">
      <c r="C91" s="48"/>
      <c r="D91" s="133"/>
      <c r="E91" s="133"/>
      <c r="F91" s="48"/>
      <c r="J91" s="167"/>
      <c r="K91" s="25"/>
      <c r="M91" s="45"/>
    </row>
    <row r="92" spans="1:14" ht="54" x14ac:dyDescent="0.25">
      <c r="A92" s="301" t="s">
        <v>82</v>
      </c>
      <c r="B92" s="301"/>
      <c r="C92" s="301"/>
      <c r="D92" s="85" t="s">
        <v>38</v>
      </c>
      <c r="E92" s="223"/>
      <c r="F92" s="310" t="s">
        <v>25</v>
      </c>
      <c r="G92" s="310"/>
      <c r="H92" s="310"/>
      <c r="I92" s="29"/>
      <c r="J92" s="21"/>
    </row>
    <row r="93" spans="1:14" x14ac:dyDescent="0.25">
      <c r="A93" s="331" t="s">
        <v>171</v>
      </c>
      <c r="B93" s="331"/>
      <c r="C93" s="331"/>
      <c r="D93" s="62"/>
      <c r="E93" s="131"/>
      <c r="F93" s="186">
        <v>50</v>
      </c>
      <c r="G93" s="186">
        <v>0</v>
      </c>
      <c r="H93" s="186" t="s">
        <v>15</v>
      </c>
      <c r="I93" s="29"/>
      <c r="M93" t="str">
        <f>IF(D93="","NA",IF(D93="N","CWIF","PASS"))</f>
        <v>NA</v>
      </c>
    </row>
    <row r="94" spans="1:14" x14ac:dyDescent="0.25">
      <c r="A94" s="380" t="s">
        <v>234</v>
      </c>
      <c r="B94" s="380"/>
      <c r="C94" s="380"/>
      <c r="D94" s="69">
        <f>IF(D93="Y",F93,IF(D93="N",0,IF(D93="NA","",IF(D93="",0))))</f>
        <v>0</v>
      </c>
      <c r="E94" s="132"/>
      <c r="F94" s="70" t="s">
        <v>16</v>
      </c>
      <c r="G94" s="106" t="s">
        <v>17</v>
      </c>
      <c r="H94" s="70" t="s">
        <v>39</v>
      </c>
      <c r="I94" s="29"/>
      <c r="J94" s="34"/>
      <c r="L94" s="49"/>
      <c r="M94" s="49"/>
      <c r="N94" s="49"/>
    </row>
    <row r="95" spans="1:14" ht="15" customHeight="1" x14ac:dyDescent="0.25">
      <c r="A95" s="378" t="s">
        <v>172</v>
      </c>
      <c r="B95" s="378"/>
      <c r="C95" s="378"/>
      <c r="D95" s="378"/>
      <c r="E95" s="379"/>
      <c r="F95" s="111" t="s">
        <v>152</v>
      </c>
      <c r="G95" s="112" t="s">
        <v>154</v>
      </c>
      <c r="H95" s="68" t="s">
        <v>173</v>
      </c>
      <c r="J95" s="167"/>
      <c r="K95" s="25"/>
      <c r="L95" s="49"/>
      <c r="M95" s="45"/>
      <c r="N95" s="49"/>
    </row>
    <row r="96" spans="1:14" ht="15" customHeight="1" x14ac:dyDescent="0.25">
      <c r="F96" s="120"/>
      <c r="G96" s="121"/>
      <c r="H96" s="224"/>
      <c r="J96" s="167"/>
      <c r="K96" s="25"/>
      <c r="L96" s="49"/>
      <c r="M96" s="45"/>
      <c r="N96" s="49"/>
    </row>
    <row r="97" spans="1:14" ht="41.25" x14ac:dyDescent="0.25">
      <c r="A97" s="301" t="s">
        <v>83</v>
      </c>
      <c r="B97" s="301"/>
      <c r="C97" s="301"/>
      <c r="D97" s="85" t="s">
        <v>19</v>
      </c>
      <c r="E97" s="7"/>
      <c r="F97"/>
      <c r="G97"/>
      <c r="H97" s="29"/>
      <c r="I97" s="29"/>
      <c r="L97" s="49"/>
      <c r="M97" s="49"/>
      <c r="N97" s="49"/>
    </row>
    <row r="98" spans="1:14" x14ac:dyDescent="0.25">
      <c r="A98" s="371" t="s">
        <v>67</v>
      </c>
      <c r="B98" s="371"/>
      <c r="C98" s="371"/>
      <c r="D98" s="226"/>
      <c r="E98" s="14" t="s">
        <v>1</v>
      </c>
      <c r="F98" s="4"/>
      <c r="G98" s="4"/>
      <c r="H98" s="29"/>
      <c r="I98" s="29"/>
      <c r="K98" s="29"/>
      <c r="M98" t="str">
        <f>IF(D98="","NA",IF(D98="Y","CWIF","PASS"))</f>
        <v>NA</v>
      </c>
    </row>
    <row r="99" spans="1:14" x14ac:dyDescent="0.25">
      <c r="A99" s="194"/>
      <c r="B99" s="194"/>
      <c r="C99" s="194"/>
      <c r="D99" s="241"/>
      <c r="E99" s="14"/>
      <c r="F99" s="4"/>
      <c r="G99" s="4"/>
      <c r="H99" s="29"/>
      <c r="I99" s="29"/>
      <c r="K99" s="29"/>
    </row>
    <row r="100" spans="1:14" x14ac:dyDescent="0.25">
      <c r="C100" s="4"/>
      <c r="D100" s="4"/>
      <c r="E100" s="4"/>
      <c r="F100" s="4"/>
      <c r="G100" s="4"/>
      <c r="H100" s="29"/>
      <c r="I100" s="29"/>
    </row>
    <row r="101" spans="1:14" ht="15.75" customHeight="1" x14ac:dyDescent="0.25">
      <c r="A101" s="85" t="s">
        <v>175</v>
      </c>
      <c r="B101" s="172" t="s">
        <v>0</v>
      </c>
      <c r="C101" s="172" t="s">
        <v>25</v>
      </c>
      <c r="D101" s="302" t="s">
        <v>273</v>
      </c>
      <c r="E101" s="302"/>
      <c r="F101" s="4"/>
      <c r="G101" s="4"/>
      <c r="H101" s="4"/>
      <c r="I101" s="4"/>
      <c r="J101"/>
      <c r="K101"/>
    </row>
    <row r="102" spans="1:14" x14ac:dyDescent="0.25">
      <c r="A102" s="139" t="s">
        <v>176</v>
      </c>
      <c r="B102" s="72">
        <f>G22</f>
        <v>0</v>
      </c>
      <c r="C102" s="173">
        <v>50</v>
      </c>
      <c r="D102" s="296" t="s">
        <v>115</v>
      </c>
      <c r="E102" s="296"/>
      <c r="F102" s="4"/>
      <c r="G102" s="4"/>
      <c r="H102" s="4"/>
      <c r="I102" s="4"/>
      <c r="J102"/>
      <c r="K102"/>
    </row>
    <row r="103" spans="1:14" x14ac:dyDescent="0.25">
      <c r="A103" s="93" t="s">
        <v>177</v>
      </c>
      <c r="B103" s="69">
        <f>G30</f>
        <v>0</v>
      </c>
      <c r="C103" s="174">
        <f>IF(F29="NA",40,50)</f>
        <v>50</v>
      </c>
      <c r="D103" s="361" t="s">
        <v>115</v>
      </c>
      <c r="E103" s="361"/>
      <c r="F103" s="4"/>
      <c r="G103" s="4"/>
      <c r="H103" s="4"/>
      <c r="I103" s="4"/>
      <c r="J103"/>
      <c r="K103"/>
    </row>
    <row r="104" spans="1:14" x14ac:dyDescent="0.25">
      <c r="A104" s="144" t="s">
        <v>235</v>
      </c>
      <c r="B104" s="153">
        <f>G33</f>
        <v>0</v>
      </c>
      <c r="C104" s="174">
        <v>50</v>
      </c>
      <c r="D104" s="394" t="str">
        <f>IF(M32="PASS","Pass",IF(M24="CWIF","Fail",""))</f>
        <v/>
      </c>
      <c r="E104" s="394"/>
      <c r="F104" s="4"/>
      <c r="G104" s="4"/>
      <c r="H104" s="4"/>
      <c r="I104" s="4"/>
      <c r="J104"/>
      <c r="K104"/>
    </row>
    <row r="105" spans="1:14" x14ac:dyDescent="0.25">
      <c r="A105" s="143" t="s">
        <v>179</v>
      </c>
      <c r="B105" s="69">
        <f>B39</f>
        <v>0</v>
      </c>
      <c r="C105" s="174">
        <v>40</v>
      </c>
      <c r="D105" s="394" t="str">
        <f>IF(M38="PASS","Pass",IF(M38="KWIF","Fail",""))</f>
        <v/>
      </c>
      <c r="E105" s="394"/>
      <c r="F105" s="4"/>
      <c r="G105" s="4"/>
      <c r="H105" s="4"/>
      <c r="I105" s="4"/>
      <c r="J105"/>
      <c r="K105"/>
    </row>
    <row r="106" spans="1:14" x14ac:dyDescent="0.25">
      <c r="A106" s="144" t="s">
        <v>236</v>
      </c>
      <c r="B106" s="69">
        <f>B47</f>
        <v>0</v>
      </c>
      <c r="C106" s="174">
        <v>50</v>
      </c>
      <c r="D106" s="394" t="str">
        <f>IF(M44="PASS","Pass",IF(M44="CWIF","Fail",""))</f>
        <v/>
      </c>
      <c r="E106" s="394"/>
      <c r="F106" s="4"/>
      <c r="G106" s="4"/>
      <c r="H106" s="4"/>
      <c r="I106" s="4"/>
      <c r="J106"/>
      <c r="K106"/>
    </row>
    <row r="107" spans="1:14" x14ac:dyDescent="0.25">
      <c r="A107" s="143" t="s">
        <v>237</v>
      </c>
      <c r="B107" s="69">
        <f>B53</f>
        <v>0</v>
      </c>
      <c r="C107" s="174">
        <v>40</v>
      </c>
      <c r="D107" s="394" t="str">
        <f>IF(M51="PASS","Pass",IF(M51="KWIF","Fail",""))</f>
        <v/>
      </c>
      <c r="E107" s="394"/>
      <c r="F107" s="4"/>
      <c r="G107" s="4"/>
      <c r="H107" s="4"/>
      <c r="I107" s="4"/>
      <c r="J107"/>
      <c r="K107"/>
    </row>
    <row r="108" spans="1:14" x14ac:dyDescent="0.25">
      <c r="A108" s="144" t="s">
        <v>238</v>
      </c>
      <c r="B108" s="69">
        <f>SUM(B60,B73,B84)</f>
        <v>0</v>
      </c>
      <c r="C108" s="174">
        <f>IF(B43="N",25,50)</f>
        <v>50</v>
      </c>
      <c r="D108" s="394" t="str">
        <f>IF(M55="PASS","Pass",IF(M55="CWIF","Fail",""))</f>
        <v>Pass</v>
      </c>
      <c r="E108" s="394"/>
      <c r="F108" s="4"/>
      <c r="G108" s="4"/>
      <c r="H108" s="4"/>
      <c r="I108" s="4"/>
      <c r="J108"/>
      <c r="K108"/>
    </row>
    <row r="109" spans="1:14" x14ac:dyDescent="0.25">
      <c r="A109" s="144" t="s">
        <v>183</v>
      </c>
      <c r="B109" s="69">
        <f>B90</f>
        <v>0</v>
      </c>
      <c r="C109" s="174">
        <v>50</v>
      </c>
      <c r="D109" s="394" t="str">
        <f>IF(M89="PASS","Pass",IF(M89="CWIF","Fail",""))</f>
        <v/>
      </c>
      <c r="E109" s="394"/>
      <c r="F109" s="4"/>
      <c r="G109" s="4"/>
      <c r="H109" s="4"/>
      <c r="I109" s="4"/>
      <c r="J109"/>
      <c r="K109"/>
    </row>
    <row r="110" spans="1:14" x14ac:dyDescent="0.25">
      <c r="A110" s="144" t="s">
        <v>184</v>
      </c>
      <c r="B110" s="69">
        <f>D94</f>
        <v>0</v>
      </c>
      <c r="C110" s="174">
        <f>IF(B58="NA",0,50)</f>
        <v>50</v>
      </c>
      <c r="D110" s="394" t="str">
        <f>IF(D93="NA","n/a",IF(M93="PASS","Pass",IF(M93="CWIF","Fail","")))</f>
        <v/>
      </c>
      <c r="E110" s="394"/>
      <c r="F110" s="4"/>
      <c r="G110" s="4"/>
      <c r="H110" s="4"/>
      <c r="I110" s="4"/>
      <c r="J110"/>
      <c r="K110"/>
    </row>
    <row r="111" spans="1:14" x14ac:dyDescent="0.25">
      <c r="A111" s="145" t="s">
        <v>239</v>
      </c>
      <c r="B111" s="78" t="s">
        <v>115</v>
      </c>
      <c r="C111" s="147" t="s">
        <v>115</v>
      </c>
      <c r="D111" s="395" t="str">
        <f>IF(M98="PASS","Pass",IF(M98="CWIF","Fail",""))</f>
        <v/>
      </c>
      <c r="E111" s="395"/>
      <c r="F111" s="4"/>
      <c r="G111" s="4"/>
      <c r="H111" s="4"/>
      <c r="I111" s="4"/>
      <c r="J111"/>
      <c r="K111"/>
    </row>
    <row r="112" spans="1:14" x14ac:dyDescent="0.25">
      <c r="A112" s="101" t="s">
        <v>185</v>
      </c>
      <c r="B112" s="72">
        <f>SUM(B102:B110)</f>
        <v>0</v>
      </c>
      <c r="C112" s="173">
        <f>SUM(C102:C111)</f>
        <v>430</v>
      </c>
      <c r="D112" s="296" t="s">
        <v>115</v>
      </c>
      <c r="E112" s="296"/>
      <c r="F112" s="4"/>
      <c r="G112" s="4"/>
      <c r="H112" s="4"/>
      <c r="I112" s="4"/>
      <c r="J112"/>
      <c r="K112"/>
    </row>
    <row r="113" spans="1:11" x14ac:dyDescent="0.25">
      <c r="C113" s="4"/>
      <c r="D113" s="4"/>
      <c r="E113" s="4"/>
      <c r="F113" s="4"/>
      <c r="G113" s="4"/>
      <c r="H113" s="29"/>
      <c r="I113" s="29"/>
    </row>
    <row r="114" spans="1:11" x14ac:dyDescent="0.25">
      <c r="A114" s="98" t="s">
        <v>186</v>
      </c>
      <c r="B114" s="230">
        <f>B112/C112</f>
        <v>0</v>
      </c>
      <c r="C114" s="298" t="s">
        <v>280</v>
      </c>
      <c r="D114" s="397"/>
      <c r="E114" s="397"/>
      <c r="F114" s="397"/>
      <c r="G114" s="397"/>
      <c r="H114" s="397"/>
      <c r="I114" s="397"/>
      <c r="J114"/>
      <c r="K114"/>
    </row>
    <row r="115" spans="1:11" ht="28.5" customHeight="1" x14ac:dyDescent="0.25">
      <c r="A115" s="100" t="s">
        <v>187</v>
      </c>
      <c r="B115" s="160" t="str">
        <f>IF(COUNTIF(M:M,"KWIF")&gt;1,"FAIL",IF(COUNTIF(M:M,"CWIF"),"FAIL",IF(((B58="NA")*(B114&gt;=0.85)),"PASS",IF(((B58="NA")*(B114&lt;0.86)),"FAIL",IF(B114&gt;=0.91,"PASS",IF(B114&lt;0.91,"FAIL"))))))</f>
        <v>FAIL</v>
      </c>
      <c r="C115" s="298"/>
      <c r="D115" s="397"/>
      <c r="E115" s="397"/>
      <c r="F115" s="397"/>
      <c r="G115" s="397"/>
      <c r="H115" s="397"/>
      <c r="I115" s="397"/>
      <c r="J115"/>
      <c r="K115"/>
    </row>
    <row r="116" spans="1:11" x14ac:dyDescent="0.25">
      <c r="C116" s="4"/>
      <c r="D116" s="4"/>
      <c r="E116" s="4"/>
      <c r="F116" s="4"/>
      <c r="G116" s="4"/>
      <c r="H116" s="4"/>
      <c r="I116" s="4"/>
      <c r="J116" s="1"/>
      <c r="K116" s="1"/>
    </row>
    <row r="117" spans="1:11" x14ac:dyDescent="0.25">
      <c r="A117" s="1" t="s">
        <v>105</v>
      </c>
      <c r="K117" s="1"/>
    </row>
    <row r="118" spans="1:11" x14ac:dyDescent="0.25">
      <c r="A118" s="297"/>
      <c r="B118" s="297"/>
      <c r="C118" s="297"/>
      <c r="D118" s="297"/>
      <c r="E118" s="297"/>
      <c r="F118" s="297"/>
      <c r="G118" s="297"/>
      <c r="H118" s="297"/>
      <c r="I118" s="297"/>
      <c r="K118" s="1"/>
    </row>
    <row r="119" spans="1:11" x14ac:dyDescent="0.25">
      <c r="A119" s="297"/>
      <c r="B119" s="297"/>
      <c r="C119" s="297"/>
      <c r="D119" s="297"/>
      <c r="E119" s="297"/>
      <c r="F119" s="297"/>
      <c r="G119" s="297"/>
      <c r="H119" s="297"/>
      <c r="I119" s="297"/>
      <c r="K119" s="1"/>
    </row>
    <row r="120" spans="1:11" x14ac:dyDescent="0.25">
      <c r="A120" s="297"/>
      <c r="B120" s="297"/>
      <c r="C120" s="297"/>
      <c r="D120" s="297"/>
      <c r="E120" s="297"/>
      <c r="F120" s="297"/>
      <c r="G120" s="297"/>
      <c r="H120" s="297"/>
      <c r="I120" s="297"/>
      <c r="K120" s="1"/>
    </row>
  </sheetData>
  <mergeCells count="87">
    <mergeCell ref="C114:I115"/>
    <mergeCell ref="E49:H49"/>
    <mergeCell ref="C51:D51"/>
    <mergeCell ref="C52:D52"/>
    <mergeCell ref="F57:G57"/>
    <mergeCell ref="C58:D58"/>
    <mergeCell ref="C55:H55"/>
    <mergeCell ref="G86:H86"/>
    <mergeCell ref="D88:E88"/>
    <mergeCell ref="A92:C92"/>
    <mergeCell ref="F92:H92"/>
    <mergeCell ref="A93:C93"/>
    <mergeCell ref="D104:E104"/>
    <mergeCell ref="D105:E105"/>
    <mergeCell ref="D106:E106"/>
    <mergeCell ref="A94:C94"/>
    <mergeCell ref="A7:D7"/>
    <mergeCell ref="E7:H7"/>
    <mergeCell ref="A8:D8"/>
    <mergeCell ref="E8:H8"/>
    <mergeCell ref="A9:D9"/>
    <mergeCell ref="E9:H9"/>
    <mergeCell ref="A1:I1"/>
    <mergeCell ref="E3:I3"/>
    <mergeCell ref="A4:D4"/>
    <mergeCell ref="A6:D6"/>
    <mergeCell ref="E6:H6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F22"/>
    <mergeCell ref="A24:E24"/>
    <mergeCell ref="A25:E25"/>
    <mergeCell ref="A33:E33"/>
    <mergeCell ref="E35:H35"/>
    <mergeCell ref="C37:D37"/>
    <mergeCell ref="C38:D38"/>
    <mergeCell ref="A26:E26"/>
    <mergeCell ref="A27:E27"/>
    <mergeCell ref="A29:E29"/>
    <mergeCell ref="A30:F30"/>
    <mergeCell ref="A32:E32"/>
    <mergeCell ref="A95:E95"/>
    <mergeCell ref="A97:C97"/>
    <mergeCell ref="A98:C98"/>
    <mergeCell ref="D101:E101"/>
    <mergeCell ref="D112:E112"/>
    <mergeCell ref="A118:I120"/>
    <mergeCell ref="A28:E28"/>
    <mergeCell ref="C45:D45"/>
    <mergeCell ref="C46:D46"/>
    <mergeCell ref="E42:H42"/>
    <mergeCell ref="C44:D44"/>
    <mergeCell ref="A55:B55"/>
    <mergeCell ref="D107:E107"/>
    <mergeCell ref="D108:E108"/>
    <mergeCell ref="D109:E109"/>
    <mergeCell ref="D110:E110"/>
    <mergeCell ref="D111:E111"/>
    <mergeCell ref="D102:E102"/>
    <mergeCell ref="D103:E103"/>
    <mergeCell ref="D79:E79"/>
    <mergeCell ref="D81:E81"/>
    <mergeCell ref="D82:E82"/>
    <mergeCell ref="F63:H63"/>
    <mergeCell ref="D65:E65"/>
    <mergeCell ref="D66:E66"/>
    <mergeCell ref="D68:E68"/>
    <mergeCell ref="D69:E69"/>
    <mergeCell ref="D71:E71"/>
    <mergeCell ref="D72:E72"/>
    <mergeCell ref="C75:H75"/>
    <mergeCell ref="E56:H56"/>
    <mergeCell ref="C59:D59"/>
    <mergeCell ref="F60:G60"/>
    <mergeCell ref="F76:H76"/>
    <mergeCell ref="D78:E78"/>
    <mergeCell ref="F58:G58"/>
    <mergeCell ref="F59:G59"/>
  </mergeCells>
  <conditionalFormatting sqref="B38">
    <cfRule type="expression" dxfId="30" priority="24">
      <formula>$M$38="KWIF"</formula>
    </cfRule>
  </conditionalFormatting>
  <conditionalFormatting sqref="B89">
    <cfRule type="cellIs" dxfId="29" priority="21" operator="lessThan">
      <formula>1</formula>
    </cfRule>
  </conditionalFormatting>
  <conditionalFormatting sqref="D93">
    <cfRule type="endsWith" dxfId="28" priority="29" operator="endsWith" text="N">
      <formula>RIGHT(D93,LEN("N"))="N"</formula>
    </cfRule>
  </conditionalFormatting>
  <conditionalFormatting sqref="D98:D99">
    <cfRule type="containsText" dxfId="27" priority="28" operator="containsText" text="Y">
      <formula>NOT(ISERROR(SEARCH("Y",D98)))</formula>
    </cfRule>
  </conditionalFormatting>
  <conditionalFormatting sqref="B115">
    <cfRule type="containsText" dxfId="26" priority="26" operator="containsText" text="PASS">
      <formula>NOT(ISERROR(SEARCH("PASS",B115)))</formula>
    </cfRule>
    <cfRule type="containsText" dxfId="25" priority="27" operator="containsText" text="FAIL">
      <formula>NOT(ISERROR(SEARCH("FAIL",B115)))</formula>
    </cfRule>
  </conditionalFormatting>
  <conditionalFormatting sqref="B52">
    <cfRule type="expression" dxfId="24" priority="56">
      <formula>$M$51="KWIF"</formula>
    </cfRule>
  </conditionalFormatting>
  <conditionalFormatting sqref="B46">
    <cfRule type="expression" dxfId="23" priority="16">
      <formula>$M$44="CWIF"</formula>
    </cfRule>
  </conditionalFormatting>
  <conditionalFormatting sqref="B82">
    <cfRule type="expression" dxfId="22" priority="13">
      <formula>$M$82="CWIF"</formula>
    </cfRule>
  </conditionalFormatting>
  <conditionalFormatting sqref="B71">
    <cfRule type="expression" dxfId="21" priority="2">
      <formula>$M$70="CWIF"</formula>
    </cfRule>
  </conditionalFormatting>
  <conditionalFormatting sqref="B59">
    <cfRule type="cellIs" dxfId="20" priority="12" operator="lessThan">
      <formula>0.96</formula>
    </cfRule>
  </conditionalFormatting>
  <conditionalFormatting sqref="D104:E104 D108:E111 D106:E106">
    <cfRule type="cellIs" dxfId="19" priority="7" operator="equal">
      <formula>"Fail"</formula>
    </cfRule>
  </conditionalFormatting>
  <conditionalFormatting sqref="D105:E105 D107:E107">
    <cfRule type="cellIs" dxfId="18" priority="6" operator="equal">
      <formula>"Fail"</formula>
    </cfRule>
  </conditionalFormatting>
  <conditionalFormatting sqref="D104:E111">
    <cfRule type="cellIs" dxfId="17" priority="5" operator="equal">
      <formula>"Pass"</formula>
    </cfRule>
  </conditionalFormatting>
  <conditionalFormatting sqref="B65">
    <cfRule type="expression" dxfId="16" priority="4">
      <formula>$M$64="CWIF"</formula>
    </cfRule>
  </conditionalFormatting>
  <conditionalFormatting sqref="B68">
    <cfRule type="expression" dxfId="15" priority="3">
      <formula>$M$67="CWIF"</formula>
    </cfRule>
  </conditionalFormatting>
  <conditionalFormatting sqref="B78">
    <cfRule type="expression" dxfId="14" priority="1">
      <formula>$M$77="CWIF"</formula>
    </cfRule>
  </conditionalFormatting>
  <pageMargins left="0.7" right="0.7" top="0.75" bottom="0.75" header="0.3" footer="0.3"/>
  <pageSetup orientation="portrait" horizontalDpi="4294967293" verticalDpi="4294967293" r:id="rId1"/>
  <ignoredErrors>
    <ignoredError sqref="B6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DE2CB-1FE3-4BAB-9D4B-E48D794443A2}">
  <dimension ref="A1:N102"/>
  <sheetViews>
    <sheetView showGridLines="0" zoomScaleNormal="100" workbookViewId="0">
      <selection sqref="A1:I1"/>
    </sheetView>
  </sheetViews>
  <sheetFormatPr defaultColWidth="9.140625" defaultRowHeight="15" x14ac:dyDescent="0.25"/>
  <cols>
    <col min="1" max="1" width="48.5703125" style="1" customWidth="1"/>
    <col min="2" max="2" width="15.7109375" style="1" customWidth="1"/>
    <col min="3" max="7" width="15.140625" style="1" customWidth="1"/>
    <col min="8" max="11" width="15.140625" style="27" customWidth="1"/>
    <col min="12" max="12" width="15.140625" customWidth="1"/>
    <col min="13" max="14" width="9.140625" hidden="1" customWidth="1"/>
  </cols>
  <sheetData>
    <row r="1" spans="1:13" s="59" customFormat="1" ht="26.25" customHeight="1" x14ac:dyDescent="0.25">
      <c r="A1" s="322" t="s">
        <v>270</v>
      </c>
      <c r="B1" s="322"/>
      <c r="C1" s="322"/>
      <c r="D1" s="322"/>
      <c r="E1" s="322"/>
      <c r="F1" s="322"/>
      <c r="G1" s="322"/>
      <c r="H1" s="322"/>
      <c r="I1" s="322"/>
      <c r="J1" s="58"/>
      <c r="K1" s="58"/>
    </row>
    <row r="2" spans="1:13" x14ac:dyDescent="0.25">
      <c r="H2" s="1"/>
      <c r="I2" s="1"/>
      <c r="J2" s="1"/>
      <c r="K2" s="1"/>
    </row>
    <row r="3" spans="1:13" s="17" customFormat="1" x14ac:dyDescent="0.25">
      <c r="A3" s="2" t="s">
        <v>94</v>
      </c>
      <c r="B3" s="15"/>
      <c r="C3" s="2"/>
      <c r="D3" s="2"/>
      <c r="E3" s="329" t="s">
        <v>61</v>
      </c>
      <c r="F3" s="329"/>
      <c r="G3" s="329"/>
      <c r="H3" s="329"/>
      <c r="I3" s="329"/>
      <c r="J3" s="31"/>
      <c r="K3" s="35"/>
    </row>
    <row r="4" spans="1:13" s="25" customFormat="1" ht="42" customHeight="1" x14ac:dyDescent="0.2">
      <c r="A4" s="328" t="s">
        <v>58</v>
      </c>
      <c r="B4" s="328"/>
      <c r="C4" s="328"/>
      <c r="D4" s="328"/>
      <c r="E4" s="22" t="s">
        <v>52</v>
      </c>
      <c r="F4" s="23" t="s">
        <v>53</v>
      </c>
      <c r="G4" s="24" t="s">
        <v>54</v>
      </c>
      <c r="H4" s="197" t="s">
        <v>59</v>
      </c>
      <c r="I4" s="26" t="s">
        <v>60</v>
      </c>
      <c r="J4" s="21"/>
    </row>
    <row r="5" spans="1:13" s="17" customFormat="1" x14ac:dyDescent="0.25">
      <c r="A5" s="2"/>
      <c r="B5" s="2"/>
      <c r="C5" s="15"/>
      <c r="D5" s="2"/>
      <c r="E5" s="2"/>
      <c r="F5" s="169"/>
      <c r="G5" s="169"/>
      <c r="H5" s="169"/>
      <c r="I5" s="169"/>
    </row>
    <row r="6" spans="1:13" x14ac:dyDescent="0.25">
      <c r="A6" s="324" t="s">
        <v>126</v>
      </c>
      <c r="B6" s="324"/>
      <c r="C6" s="324"/>
      <c r="D6" s="324"/>
      <c r="E6" s="324" t="s">
        <v>127</v>
      </c>
      <c r="F6" s="324"/>
      <c r="G6" s="324"/>
      <c r="H6" s="324"/>
      <c r="I6"/>
      <c r="J6"/>
      <c r="K6"/>
    </row>
    <row r="7" spans="1:13" x14ac:dyDescent="0.25">
      <c r="A7" s="324" t="s">
        <v>128</v>
      </c>
      <c r="B7" s="324"/>
      <c r="C7" s="324"/>
      <c r="D7" s="324"/>
      <c r="E7" s="324" t="s">
        <v>200</v>
      </c>
      <c r="F7" s="324"/>
      <c r="G7" s="324"/>
      <c r="H7" s="324"/>
      <c r="I7"/>
      <c r="J7"/>
      <c r="K7"/>
    </row>
    <row r="8" spans="1:13" x14ac:dyDescent="0.25">
      <c r="A8" s="324" t="s">
        <v>130</v>
      </c>
      <c r="B8" s="324"/>
      <c r="C8" s="324"/>
      <c r="D8" s="324"/>
      <c r="E8" s="381" t="s">
        <v>201</v>
      </c>
      <c r="F8" s="382"/>
      <c r="G8" s="382"/>
      <c r="H8" s="383"/>
      <c r="I8"/>
      <c r="J8"/>
      <c r="K8"/>
    </row>
    <row r="9" spans="1:13" x14ac:dyDescent="0.25">
      <c r="A9" s="324" t="s">
        <v>132</v>
      </c>
      <c r="B9" s="324"/>
      <c r="C9" s="324"/>
      <c r="D9" s="324"/>
      <c r="E9" s="381" t="s">
        <v>202</v>
      </c>
      <c r="F9" s="382"/>
      <c r="G9" s="382"/>
      <c r="H9" s="383"/>
      <c r="I9"/>
      <c r="J9"/>
      <c r="K9"/>
    </row>
    <row r="10" spans="1:13" x14ac:dyDescent="0.25">
      <c r="A10" s="19"/>
      <c r="B10" s="9"/>
      <c r="C10" s="20"/>
      <c r="D10" s="9"/>
      <c r="E10" s="9"/>
      <c r="I10" s="21"/>
      <c r="J10" s="21"/>
      <c r="K10" s="25"/>
    </row>
    <row r="11" spans="1:13" ht="42.75" customHeight="1" x14ac:dyDescent="0.25">
      <c r="A11" s="374" t="s">
        <v>134</v>
      </c>
      <c r="B11" s="375"/>
      <c r="C11" s="375"/>
      <c r="D11" s="375"/>
      <c r="E11" s="376"/>
      <c r="F11" s="85" t="s">
        <v>19</v>
      </c>
      <c r="G11" s="190" t="s">
        <v>0</v>
      </c>
      <c r="H11" s="88" t="s">
        <v>25</v>
      </c>
      <c r="I11" s="29"/>
      <c r="J11" s="25"/>
      <c r="K11" s="25"/>
      <c r="M11" t="s">
        <v>41</v>
      </c>
    </row>
    <row r="12" spans="1:13" ht="32.25" customHeight="1" x14ac:dyDescent="0.25">
      <c r="A12" s="373" t="s">
        <v>203</v>
      </c>
      <c r="B12" s="373"/>
      <c r="C12" s="373"/>
      <c r="D12" s="373"/>
      <c r="E12" s="373"/>
      <c r="F12" s="238"/>
      <c r="G12" s="188">
        <f>IF(F12="Y",H12,IF(F12="N",0,IF(F12="",0)))</f>
        <v>0</v>
      </c>
      <c r="H12" s="189">
        <v>5</v>
      </c>
      <c r="I12" s="29"/>
    </row>
    <row r="13" spans="1:13" ht="15" customHeight="1" x14ac:dyDescent="0.25">
      <c r="A13" s="334" t="s">
        <v>204</v>
      </c>
      <c r="B13" s="334"/>
      <c r="C13" s="334"/>
      <c r="D13" s="334"/>
      <c r="E13" s="334"/>
      <c r="F13" s="239"/>
      <c r="G13" s="185">
        <f t="shared" ref="G13:G28" si="0">IF(F13="Y",H13,IF(F13="N",0,IF(F13="",0)))</f>
        <v>0</v>
      </c>
      <c r="H13" s="186">
        <v>5</v>
      </c>
      <c r="I13" s="29"/>
    </row>
    <row r="14" spans="1:13" ht="15" customHeight="1" x14ac:dyDescent="0.25">
      <c r="A14" s="334" t="s">
        <v>205</v>
      </c>
      <c r="B14" s="334"/>
      <c r="C14" s="334"/>
      <c r="D14" s="334"/>
      <c r="E14" s="334"/>
      <c r="F14" s="239"/>
      <c r="G14" s="185">
        <f t="shared" si="0"/>
        <v>0</v>
      </c>
      <c r="H14" s="186">
        <v>5</v>
      </c>
      <c r="I14" s="29"/>
    </row>
    <row r="15" spans="1:13" ht="15" customHeight="1" x14ac:dyDescent="0.25">
      <c r="A15" s="334" t="s">
        <v>206</v>
      </c>
      <c r="B15" s="334"/>
      <c r="C15" s="334"/>
      <c r="D15" s="334"/>
      <c r="E15" s="334"/>
      <c r="F15" s="239"/>
      <c r="G15" s="185">
        <f t="shared" si="0"/>
        <v>0</v>
      </c>
      <c r="H15" s="186">
        <v>5</v>
      </c>
      <c r="I15" s="29"/>
    </row>
    <row r="16" spans="1:13" ht="32.25" customHeight="1" x14ac:dyDescent="0.25">
      <c r="A16" s="334" t="s">
        <v>207</v>
      </c>
      <c r="B16" s="334"/>
      <c r="C16" s="334"/>
      <c r="D16" s="334"/>
      <c r="E16" s="334"/>
      <c r="F16" s="239"/>
      <c r="G16" s="185">
        <f t="shared" si="0"/>
        <v>0</v>
      </c>
      <c r="H16" s="186">
        <v>5</v>
      </c>
      <c r="I16" s="29"/>
    </row>
    <row r="17" spans="1:13" x14ac:dyDescent="0.25">
      <c r="A17" s="334" t="s">
        <v>208</v>
      </c>
      <c r="B17" s="334"/>
      <c r="C17" s="334"/>
      <c r="D17" s="334"/>
      <c r="E17" s="334"/>
      <c r="F17" s="239"/>
      <c r="G17" s="185">
        <f t="shared" si="0"/>
        <v>0</v>
      </c>
      <c r="H17" s="186">
        <v>5</v>
      </c>
      <c r="I17" s="29"/>
      <c r="L17" s="4"/>
    </row>
    <row r="18" spans="1:13" ht="15" customHeight="1" x14ac:dyDescent="0.25">
      <c r="A18" s="334" t="s">
        <v>209</v>
      </c>
      <c r="B18" s="334"/>
      <c r="C18" s="334"/>
      <c r="D18" s="334"/>
      <c r="E18" s="334"/>
      <c r="F18" s="239"/>
      <c r="G18" s="185">
        <f t="shared" si="0"/>
        <v>0</v>
      </c>
      <c r="H18" s="186">
        <v>5</v>
      </c>
      <c r="I18" s="29"/>
      <c r="L18" s="4"/>
    </row>
    <row r="19" spans="1:13" ht="15" customHeight="1" x14ac:dyDescent="0.25">
      <c r="A19" s="334" t="s">
        <v>210</v>
      </c>
      <c r="B19" s="334"/>
      <c r="C19" s="334"/>
      <c r="D19" s="334"/>
      <c r="E19" s="334"/>
      <c r="F19" s="239"/>
      <c r="G19" s="185">
        <f t="shared" si="0"/>
        <v>0</v>
      </c>
      <c r="H19" s="186">
        <v>5</v>
      </c>
      <c r="I19" s="29"/>
    </row>
    <row r="20" spans="1:13" s="13" customFormat="1" ht="15" customHeight="1" x14ac:dyDescent="0.25">
      <c r="A20" s="334" t="s">
        <v>211</v>
      </c>
      <c r="B20" s="334"/>
      <c r="C20" s="334"/>
      <c r="D20" s="334"/>
      <c r="E20" s="334"/>
      <c r="F20" s="239"/>
      <c r="G20" s="185">
        <f t="shared" si="0"/>
        <v>0</v>
      </c>
      <c r="H20" s="186">
        <v>5</v>
      </c>
      <c r="I20" s="30"/>
      <c r="J20" s="32"/>
      <c r="K20" s="32"/>
    </row>
    <row r="21" spans="1:13" ht="32.25" customHeight="1" x14ac:dyDescent="0.25">
      <c r="A21" s="384" t="s">
        <v>212</v>
      </c>
      <c r="B21" s="384"/>
      <c r="C21" s="384"/>
      <c r="D21" s="384"/>
      <c r="E21" s="384"/>
      <c r="F21" s="240"/>
      <c r="G21" s="191">
        <f t="shared" si="0"/>
        <v>0</v>
      </c>
      <c r="H21" s="192">
        <v>5</v>
      </c>
      <c r="I21" s="29"/>
    </row>
    <row r="22" spans="1:13" ht="15" customHeight="1" x14ac:dyDescent="0.25">
      <c r="A22" s="326" t="s">
        <v>114</v>
      </c>
      <c r="B22" s="326"/>
      <c r="C22" s="326"/>
      <c r="D22" s="326"/>
      <c r="E22" s="326"/>
      <c r="F22" s="326"/>
      <c r="G22" s="72">
        <f>SUM(G12:G21)</f>
        <v>0</v>
      </c>
      <c r="H22" s="74">
        <f>SUM(H12:H21)</f>
        <v>50</v>
      </c>
      <c r="I22" s="4"/>
      <c r="J22" s="1"/>
      <c r="K22" s="1"/>
    </row>
    <row r="23" spans="1:13" s="49" customFormat="1" x14ac:dyDescent="0.25">
      <c r="A23" s="179"/>
      <c r="B23" s="179"/>
      <c r="C23" s="179"/>
      <c r="D23" s="179"/>
      <c r="E23" s="179"/>
      <c r="F23" s="180"/>
      <c r="G23" s="181"/>
      <c r="H23" s="182"/>
      <c r="I23" s="183"/>
      <c r="J23" s="184"/>
      <c r="K23" s="184"/>
    </row>
    <row r="24" spans="1:13" ht="41.25" x14ac:dyDescent="0.25">
      <c r="A24" s="314" t="s">
        <v>2</v>
      </c>
      <c r="B24" s="315"/>
      <c r="C24" s="315"/>
      <c r="D24" s="315"/>
      <c r="E24" s="316"/>
      <c r="F24" s="85" t="s">
        <v>19</v>
      </c>
      <c r="G24" s="190" t="s">
        <v>0</v>
      </c>
      <c r="H24" s="88" t="s">
        <v>25</v>
      </c>
      <c r="I24" s="29"/>
    </row>
    <row r="25" spans="1:13" x14ac:dyDescent="0.25">
      <c r="A25" s="300" t="s">
        <v>122</v>
      </c>
      <c r="B25" s="300"/>
      <c r="C25" s="300"/>
      <c r="D25" s="300"/>
      <c r="E25" s="300"/>
      <c r="F25" s="242"/>
      <c r="G25" s="188">
        <f t="shared" si="0"/>
        <v>0</v>
      </c>
      <c r="H25" s="189">
        <v>10</v>
      </c>
      <c r="I25" s="29"/>
    </row>
    <row r="26" spans="1:13" ht="15" customHeight="1" x14ac:dyDescent="0.25">
      <c r="A26" s="317" t="s">
        <v>213</v>
      </c>
      <c r="B26" s="317"/>
      <c r="C26" s="317"/>
      <c r="D26" s="317"/>
      <c r="E26" s="317"/>
      <c r="F26" s="243"/>
      <c r="G26" s="185">
        <f t="shared" si="0"/>
        <v>0</v>
      </c>
      <c r="H26" s="186">
        <v>10</v>
      </c>
      <c r="I26" s="29"/>
    </row>
    <row r="27" spans="1:13" ht="15" customHeight="1" x14ac:dyDescent="0.25">
      <c r="A27" s="317" t="s">
        <v>214</v>
      </c>
      <c r="B27" s="317"/>
      <c r="C27" s="317"/>
      <c r="D27" s="317"/>
      <c r="E27" s="317"/>
      <c r="F27" s="243"/>
      <c r="G27" s="185">
        <f t="shared" si="0"/>
        <v>0</v>
      </c>
      <c r="H27" s="186">
        <v>10</v>
      </c>
      <c r="I27" s="29"/>
    </row>
    <row r="28" spans="1:13" ht="15" customHeight="1" x14ac:dyDescent="0.25">
      <c r="A28" s="317" t="s">
        <v>215</v>
      </c>
      <c r="B28" s="317"/>
      <c r="C28" s="317"/>
      <c r="D28" s="317"/>
      <c r="E28" s="317"/>
      <c r="F28" s="243"/>
      <c r="G28" s="185">
        <f t="shared" si="0"/>
        <v>0</v>
      </c>
      <c r="H28" s="186">
        <v>10</v>
      </c>
      <c r="I28" s="29"/>
    </row>
    <row r="29" spans="1:13" ht="27.75" customHeight="1" x14ac:dyDescent="0.25">
      <c r="A29" s="396" t="s">
        <v>277</v>
      </c>
      <c r="B29" s="396"/>
      <c r="C29" s="396"/>
      <c r="D29" s="396"/>
      <c r="E29" s="396"/>
      <c r="F29" s="244"/>
      <c r="G29" s="245">
        <f>IF(F29="NA",0,IF(F29="Y",H29,IF(F29="N",0,IF(F29="",0))))</f>
        <v>0</v>
      </c>
      <c r="H29" s="246">
        <f>IF(F29="NA",0,10)</f>
        <v>10</v>
      </c>
      <c r="I29" s="29"/>
    </row>
    <row r="30" spans="1:13" ht="15" customHeight="1" x14ac:dyDescent="0.25">
      <c r="A30" s="326" t="s">
        <v>116</v>
      </c>
      <c r="B30" s="326"/>
      <c r="C30" s="326"/>
      <c r="D30" s="326"/>
      <c r="E30" s="326"/>
      <c r="F30" s="326"/>
      <c r="G30" s="72">
        <f>SUM(G25:G29)</f>
        <v>0</v>
      </c>
      <c r="H30" s="74">
        <f>SUM(H25:H29)</f>
        <v>50</v>
      </c>
      <c r="I30" s="4"/>
      <c r="J30" s="1"/>
      <c r="K30" s="1"/>
    </row>
    <row r="31" spans="1:13" s="49" customFormat="1" x14ac:dyDescent="0.25">
      <c r="A31" s="179"/>
      <c r="B31" s="179"/>
      <c r="C31" s="179"/>
      <c r="D31" s="179"/>
      <c r="E31" s="179"/>
      <c r="F31" s="180"/>
      <c r="G31" s="181"/>
      <c r="H31" s="182"/>
      <c r="I31" s="183"/>
      <c r="J31" s="184"/>
      <c r="K31" s="184"/>
    </row>
    <row r="32" spans="1:13" ht="41.25" x14ac:dyDescent="0.25">
      <c r="A32" s="301" t="s">
        <v>66</v>
      </c>
      <c r="B32" s="301"/>
      <c r="C32" s="301"/>
      <c r="D32" s="301"/>
      <c r="E32" s="301"/>
      <c r="F32" s="85" t="s">
        <v>19</v>
      </c>
      <c r="G32" s="190" t="s">
        <v>0</v>
      </c>
      <c r="H32" s="88" t="s">
        <v>25</v>
      </c>
      <c r="I32" s="29"/>
      <c r="M32" t="str">
        <f>IF(F33="Y","PASS",IF(F33="N","CWIF"," "))</f>
        <v xml:space="preserve"> </v>
      </c>
    </row>
    <row r="33" spans="1:14" x14ac:dyDescent="0.25">
      <c r="A33" s="371" t="s">
        <v>216</v>
      </c>
      <c r="B33" s="371"/>
      <c r="C33" s="371"/>
      <c r="D33" s="371"/>
      <c r="E33" s="371"/>
      <c r="F33" s="226"/>
      <c r="G33" s="195">
        <f t="shared" ref="G33" si="1">IF(F33="Y",H33,IF(F33="N",0,IF(F33="",0)))</f>
        <v>0</v>
      </c>
      <c r="H33" s="196">
        <v>50</v>
      </c>
      <c r="I33" s="29"/>
      <c r="J33" s="25"/>
      <c r="K33" s="25"/>
    </row>
    <row r="34" spans="1:14" s="49" customFormat="1" x14ac:dyDescent="0.25">
      <c r="A34" s="179"/>
      <c r="B34" s="179"/>
      <c r="C34" s="179"/>
      <c r="D34" s="179"/>
      <c r="E34" s="179"/>
      <c r="F34" s="180"/>
      <c r="G34" s="181"/>
      <c r="H34" s="182"/>
      <c r="I34" s="183"/>
      <c r="J34" s="184"/>
      <c r="K34" s="184"/>
    </row>
    <row r="35" spans="1:14" ht="30" x14ac:dyDescent="0.25">
      <c r="A35" s="85" t="s">
        <v>68</v>
      </c>
      <c r="B35" s="85" t="s">
        <v>42</v>
      </c>
      <c r="C35" s="48"/>
      <c r="E35" s="330" t="s">
        <v>25</v>
      </c>
      <c r="F35" s="330"/>
      <c r="G35" s="330"/>
      <c r="H35" s="330"/>
      <c r="I35" s="29"/>
      <c r="J35" s="25"/>
      <c r="K35" s="25"/>
    </row>
    <row r="36" spans="1:14" x14ac:dyDescent="0.25">
      <c r="A36" s="89" t="s">
        <v>155</v>
      </c>
      <c r="B36" s="62"/>
      <c r="C36" s="134"/>
      <c r="D36" s="202"/>
      <c r="E36" s="187">
        <v>40</v>
      </c>
      <c r="F36" s="186">
        <v>30</v>
      </c>
      <c r="G36" s="186">
        <v>20</v>
      </c>
      <c r="H36" s="186">
        <v>0</v>
      </c>
      <c r="I36" s="29"/>
      <c r="J36" s="25"/>
      <c r="K36" s="25"/>
    </row>
    <row r="37" spans="1:14" x14ac:dyDescent="0.25">
      <c r="A37" s="90" t="s">
        <v>156</v>
      </c>
      <c r="B37" s="64"/>
      <c r="C37" s="305" t="s">
        <v>47</v>
      </c>
      <c r="D37" s="305"/>
      <c r="E37" s="209">
        <v>0</v>
      </c>
      <c r="F37" s="210" t="s">
        <v>4</v>
      </c>
      <c r="G37" s="186" t="s">
        <v>5</v>
      </c>
      <c r="H37" s="186" t="s">
        <v>6</v>
      </c>
      <c r="I37" s="30"/>
      <c r="J37" s="33"/>
      <c r="K37" s="25"/>
    </row>
    <row r="38" spans="1:14" s="19" customFormat="1" ht="27" customHeight="1" x14ac:dyDescent="0.25">
      <c r="A38" s="248" t="s">
        <v>149</v>
      </c>
      <c r="B38" s="229" t="str">
        <f>IF(B37="","",B36/B37)</f>
        <v/>
      </c>
      <c r="C38" s="347" t="s">
        <v>48</v>
      </c>
      <c r="D38" s="347"/>
      <c r="E38" s="187" t="s">
        <v>43</v>
      </c>
      <c r="F38" s="210" t="s">
        <v>46</v>
      </c>
      <c r="G38" s="186" t="s">
        <v>44</v>
      </c>
      <c r="H38" s="186" t="s">
        <v>45</v>
      </c>
      <c r="I38" s="249"/>
      <c r="J38" s="250"/>
      <c r="K38" s="251"/>
      <c r="M38" s="19" t="str">
        <f>IF(B37="","NA",IF(B39&lt;30,"KWIF","PASS"))</f>
        <v>NA</v>
      </c>
    </row>
    <row r="39" spans="1:14" x14ac:dyDescent="0.25">
      <c r="A39" s="101" t="s">
        <v>219</v>
      </c>
      <c r="B39" s="72">
        <f>IF(B37&lt;100,M40,M39)</f>
        <v>0</v>
      </c>
      <c r="C39" s="203"/>
      <c r="D39" s="206"/>
      <c r="E39" s="110" t="s">
        <v>151</v>
      </c>
      <c r="F39" s="111" t="s">
        <v>152</v>
      </c>
      <c r="G39" s="200" t="s">
        <v>153</v>
      </c>
      <c r="H39" s="112" t="s">
        <v>154</v>
      </c>
      <c r="J39" s="175"/>
      <c r="K39" s="25"/>
      <c r="M39" s="3">
        <f>IF(B37="",0,IF(B38=0,E36,IF((B38&gt;0)*(B38&lt;=0.01),F36,IF((B38&gt;0.01)*(B38&lt;=0.03),G36,IF(B38&gt;0.03,H36)))))</f>
        <v>0</v>
      </c>
      <c r="N39" t="s">
        <v>50</v>
      </c>
    </row>
    <row r="40" spans="1:14" ht="15" customHeight="1" x14ac:dyDescent="0.25">
      <c r="C40" s="203"/>
      <c r="D40" s="207"/>
      <c r="J40" s="175"/>
      <c r="K40" s="25"/>
      <c r="M40" s="3">
        <f>IF(B37="",0,IF(B36=0,E36,IF(B36=1,F36,IF(B36=2,G36,IF(B36&gt;2,H36)))))</f>
        <v>0</v>
      </c>
      <c r="N40" t="s">
        <v>51</v>
      </c>
    </row>
    <row r="41" spans="1:14" s="49" customFormat="1" x14ac:dyDescent="0.25">
      <c r="A41" s="179"/>
      <c r="B41" s="179"/>
      <c r="C41" s="204"/>
      <c r="D41" s="208"/>
      <c r="I41" s="183"/>
      <c r="J41" s="184"/>
      <c r="K41" s="184"/>
    </row>
    <row r="42" spans="1:14" ht="30" x14ac:dyDescent="0.25">
      <c r="A42" s="93" t="s">
        <v>69</v>
      </c>
      <c r="B42" s="93" t="s">
        <v>42</v>
      </c>
      <c r="E42" s="335" t="s">
        <v>25</v>
      </c>
      <c r="F42" s="335"/>
      <c r="G42" s="335"/>
      <c r="H42" s="335"/>
      <c r="I42" s="29"/>
    </row>
    <row r="43" spans="1:14" x14ac:dyDescent="0.25">
      <c r="A43" s="89" t="s">
        <v>188</v>
      </c>
      <c r="B43" s="64"/>
      <c r="C43" s="213"/>
      <c r="E43" s="71">
        <v>50</v>
      </c>
      <c r="F43" s="71">
        <v>45</v>
      </c>
      <c r="G43" s="70">
        <v>40</v>
      </c>
      <c r="H43" s="70">
        <v>0</v>
      </c>
      <c r="I43" s="29"/>
    </row>
    <row r="44" spans="1:14" x14ac:dyDescent="0.25">
      <c r="A44" s="90" t="s">
        <v>156</v>
      </c>
      <c r="B44" s="64"/>
      <c r="C44" s="391" t="s">
        <v>47</v>
      </c>
      <c r="D44" s="306"/>
      <c r="E44" s="106">
        <v>0</v>
      </c>
      <c r="F44" s="106" t="s">
        <v>95</v>
      </c>
      <c r="G44" s="106" t="s">
        <v>56</v>
      </c>
      <c r="H44" s="70" t="s">
        <v>57</v>
      </c>
      <c r="I44" s="29"/>
      <c r="J44" s="25"/>
      <c r="K44" s="25"/>
      <c r="M44" t="str">
        <f>IF(B44="","NA",IF((B46&lt;20),"CWIF","PASS"))</f>
        <v>NA</v>
      </c>
    </row>
    <row r="45" spans="1:14" ht="28.5" customHeight="1" x14ac:dyDescent="0.25">
      <c r="A45" s="248" t="s">
        <v>220</v>
      </c>
      <c r="B45" s="229" t="str">
        <f>IF(B44="","",B43/B44)</f>
        <v/>
      </c>
      <c r="C45" s="392" t="s">
        <v>48</v>
      </c>
      <c r="D45" s="348"/>
      <c r="E45" s="186" t="s">
        <v>43</v>
      </c>
      <c r="F45" s="186" t="s">
        <v>115</v>
      </c>
      <c r="G45" s="186" t="s">
        <v>46</v>
      </c>
      <c r="H45" s="186" t="s">
        <v>49</v>
      </c>
      <c r="I45" s="29"/>
      <c r="J45" s="25"/>
      <c r="K45" s="25"/>
      <c r="M45" s="178">
        <f>IF(B44="",0,IF(((#REF!="Y")*(B45=0)),E43,IF(((#REF!="Y")*(B45&gt;0)*(B45&lt;=0.025)),F43,IF(((#REF!="Y")*(B45&gt;0.025)*(B45&lt;=0.05)),G43,IF(((#REF!="Y")*(B45&gt;0.05)),H43)))))</f>
        <v>0</v>
      </c>
      <c r="N45" s="19" t="s">
        <v>50</v>
      </c>
    </row>
    <row r="46" spans="1:14" s="19" customFormat="1" ht="24.75" customHeight="1" x14ac:dyDescent="0.25">
      <c r="A46" s="100" t="s">
        <v>150</v>
      </c>
      <c r="B46" s="72">
        <f>IF(B44="",0,IF(((#REF!="Y")*(B44&lt;100)),M46,IF(((#REF!="Y")*(B44&gt;99)),M45,IF(#REF!="N",#REF!,0))))</f>
        <v>0</v>
      </c>
      <c r="C46" s="1"/>
      <c r="D46" s="1"/>
      <c r="E46" s="110" t="s">
        <v>151</v>
      </c>
      <c r="F46" s="201" t="s">
        <v>217</v>
      </c>
      <c r="G46" s="111" t="s">
        <v>152</v>
      </c>
      <c r="H46" s="112" t="s">
        <v>154</v>
      </c>
      <c r="I46" s="252"/>
      <c r="J46" s="21"/>
      <c r="K46" s="21"/>
      <c r="M46" s="3">
        <f>IF(B44="",0,IF(((#REF!="Y")*(B43=0)),E43,IF(((#REF!="Y")*(B43=1)),G43,IF(((#REF!="Y")*(B43&gt;1)),H43))))</f>
        <v>0</v>
      </c>
      <c r="N46" t="s">
        <v>51</v>
      </c>
    </row>
    <row r="47" spans="1:14" ht="26.25" customHeight="1" x14ac:dyDescent="0.25">
      <c r="I47" s="29"/>
    </row>
    <row r="48" spans="1:14" x14ac:dyDescent="0.25">
      <c r="I48" s="29"/>
    </row>
    <row r="49" spans="1:14" ht="30.75" customHeight="1" x14ac:dyDescent="0.25">
      <c r="A49" s="393" t="s">
        <v>99</v>
      </c>
      <c r="B49" s="393"/>
      <c r="C49" s="398" t="s">
        <v>271</v>
      </c>
      <c r="D49" s="399"/>
      <c r="E49" s="399"/>
      <c r="F49" s="399"/>
      <c r="G49" s="399"/>
      <c r="H49" s="399"/>
      <c r="M49" s="49" t="str">
        <f>IF((COUNTIF(M51:M68,"CWIF")),"CWIF","PASS")</f>
        <v>PASS</v>
      </c>
    </row>
    <row r="50" spans="1:14" ht="30" customHeight="1" x14ac:dyDescent="0.25">
      <c r="A50" s="85" t="s">
        <v>91</v>
      </c>
      <c r="B50" s="85" t="s">
        <v>42</v>
      </c>
      <c r="E50" s="335" t="s">
        <v>25</v>
      </c>
      <c r="F50" s="335"/>
      <c r="G50" s="335"/>
      <c r="H50" s="335"/>
      <c r="J50" s="25"/>
      <c r="K50" s="25"/>
    </row>
    <row r="51" spans="1:14" x14ac:dyDescent="0.25">
      <c r="A51" s="89" t="s">
        <v>223</v>
      </c>
      <c r="B51" s="62"/>
      <c r="C51" s="7"/>
      <c r="E51" s="214">
        <v>50</v>
      </c>
      <c r="F51" s="369">
        <v>40</v>
      </c>
      <c r="G51" s="370"/>
      <c r="H51" s="70">
        <v>0</v>
      </c>
      <c r="J51" s="25"/>
      <c r="K51" s="25"/>
      <c r="M51" t="str">
        <f>IF(B52="","NA",IF(B54&lt;40,"CWIF","PASS"))</f>
        <v>NA</v>
      </c>
    </row>
    <row r="52" spans="1:14" ht="15" customHeight="1" x14ac:dyDescent="0.25">
      <c r="A52" s="90" t="s">
        <v>156</v>
      </c>
      <c r="B52" s="64"/>
      <c r="C52" s="305" t="s">
        <v>225</v>
      </c>
      <c r="D52" s="306"/>
      <c r="E52" s="215">
        <v>1</v>
      </c>
      <c r="F52" s="367" t="s">
        <v>78</v>
      </c>
      <c r="G52" s="368"/>
      <c r="H52" s="186" t="s">
        <v>79</v>
      </c>
      <c r="J52" s="25"/>
      <c r="K52" s="25"/>
      <c r="M52" s="3">
        <f>IF(B52="NA",0,IF(B53="",0,IF(B53=1,E51,IF((B53&lt;1)*(B53&gt;=0.96),F51,IF(B53&lt;0.96,G51)))))</f>
        <v>0</v>
      </c>
      <c r="N52" t="s">
        <v>50</v>
      </c>
    </row>
    <row r="53" spans="1:14" ht="30" customHeight="1" x14ac:dyDescent="0.25">
      <c r="A53" s="102" t="s">
        <v>224</v>
      </c>
      <c r="B53" s="218" t="str">
        <f>IF(B52="","",B51/B52)</f>
        <v/>
      </c>
      <c r="C53" s="305" t="s">
        <v>226</v>
      </c>
      <c r="D53" s="306"/>
      <c r="E53" s="216" t="s">
        <v>227</v>
      </c>
      <c r="F53" s="365" t="s">
        <v>228</v>
      </c>
      <c r="G53" s="366"/>
      <c r="H53" s="217" t="s">
        <v>229</v>
      </c>
      <c r="M53" s="3">
        <f>IF(B53="NA",0,IF(B52="",0,IF(((B52-B51)=0),E51,IF(((B52-B51)=1),F51,IF(((B52-B51)&gt;1),H51)))))</f>
        <v>0</v>
      </c>
      <c r="N53" t="s">
        <v>51</v>
      </c>
    </row>
    <row r="54" spans="1:14" x14ac:dyDescent="0.25">
      <c r="A54" s="101" t="s">
        <v>230</v>
      </c>
      <c r="B54" s="72">
        <f>IF(B52="NA",0,IF(B52="",0,IF(B52&lt;40,M53,M52)))</f>
        <v>0</v>
      </c>
      <c r="C54" s="8"/>
      <c r="E54" s="110" t="s">
        <v>151</v>
      </c>
      <c r="F54" s="363" t="s">
        <v>152</v>
      </c>
      <c r="G54" s="364"/>
      <c r="H54" s="112" t="s">
        <v>154</v>
      </c>
    </row>
    <row r="55" spans="1:14" ht="27.75" customHeight="1" x14ac:dyDescent="0.25">
      <c r="A55" s="362" t="s">
        <v>278</v>
      </c>
      <c r="B55" s="362"/>
      <c r="C55" s="362"/>
      <c r="D55" s="362"/>
      <c r="E55" s="362"/>
      <c r="F55" s="362"/>
      <c r="G55" s="362"/>
      <c r="H55" s="362"/>
    </row>
    <row r="56" spans="1:14" ht="28.5" x14ac:dyDescent="0.25">
      <c r="A56" s="85" t="s">
        <v>89</v>
      </c>
      <c r="B56" s="85" t="s">
        <v>42</v>
      </c>
      <c r="H56" s="29"/>
      <c r="I56" s="29"/>
      <c r="K56" s="1"/>
    </row>
    <row r="57" spans="1:14" ht="15" customHeight="1" x14ac:dyDescent="0.25">
      <c r="A57" s="170" t="s">
        <v>156</v>
      </c>
      <c r="B57" s="276"/>
      <c r="C57" s="7"/>
      <c r="D57" s="175"/>
      <c r="F57" s="388" t="s">
        <v>25</v>
      </c>
      <c r="G57" s="388"/>
      <c r="H57" s="388"/>
      <c r="I57" s="29"/>
      <c r="J57" s="25"/>
      <c r="K57"/>
    </row>
    <row r="58" spans="1:14" x14ac:dyDescent="0.25">
      <c r="A58" s="171" t="s">
        <v>245</v>
      </c>
      <c r="B58" s="228"/>
      <c r="C58" s="134"/>
      <c r="E58" s="257"/>
      <c r="F58" s="71">
        <v>10</v>
      </c>
      <c r="G58" s="71">
        <v>5</v>
      </c>
      <c r="H58" s="71">
        <v>0</v>
      </c>
      <c r="I58" s="255"/>
      <c r="J58" s="25"/>
      <c r="K58"/>
      <c r="M58" t="str">
        <f>IF(B65="","NA",IF(B60&lt;5,"CWIF","PASS"))</f>
        <v>NA</v>
      </c>
    </row>
    <row r="59" spans="1:14" ht="15" customHeight="1" x14ac:dyDescent="0.25">
      <c r="A59" s="171" t="s">
        <v>251</v>
      </c>
      <c r="B59" s="277" t="str">
        <f>IF(B57="","",B58/B57)</f>
        <v/>
      </c>
      <c r="C59" s="134"/>
      <c r="D59" s="305" t="s">
        <v>47</v>
      </c>
      <c r="E59" s="306"/>
      <c r="F59" s="258">
        <v>1</v>
      </c>
      <c r="G59" s="259">
        <v>0.99</v>
      </c>
      <c r="H59" s="70" t="s">
        <v>85</v>
      </c>
      <c r="I59" s="255"/>
      <c r="J59" s="25"/>
      <c r="K59"/>
      <c r="M59" s="3">
        <f>IF(B57="",0,IF(B59=1,F58,IF((B59&lt;1)*(B59&gt;=0.99),G58,IF(B59&lt;0.99,H58))))</f>
        <v>0</v>
      </c>
      <c r="N59" t="s">
        <v>50</v>
      </c>
    </row>
    <row r="60" spans="1:14" ht="24.75" customHeight="1" x14ac:dyDescent="0.25">
      <c r="A60" s="193" t="s">
        <v>246</v>
      </c>
      <c r="B60" s="191" t="str">
        <f>IF(B57="","",IF(B57&lt;100,M60,M59))</f>
        <v/>
      </c>
      <c r="C60" s="211"/>
      <c r="D60" s="347" t="s">
        <v>48</v>
      </c>
      <c r="E60" s="348"/>
      <c r="F60" s="260" t="s">
        <v>253</v>
      </c>
      <c r="G60" s="261" t="s">
        <v>254</v>
      </c>
      <c r="H60" s="262" t="s">
        <v>255</v>
      </c>
      <c r="I60" s="255"/>
      <c r="J60" s="25"/>
      <c r="K60"/>
      <c r="M60" s="3">
        <f>IF(B57="",0,IF(B57=B58,F58,IF(B57-B58=1,G58,IF(B57-B58&gt;1,H58))))</f>
        <v>0</v>
      </c>
      <c r="N60" t="s">
        <v>51</v>
      </c>
    </row>
    <row r="61" spans="1:14" x14ac:dyDescent="0.25">
      <c r="A61" s="170" t="s">
        <v>223</v>
      </c>
      <c r="B61" s="276"/>
      <c r="C61" s="134"/>
      <c r="D61" s="202"/>
      <c r="E61" s="265"/>
      <c r="F61" s="168">
        <v>20</v>
      </c>
      <c r="G61" s="73">
        <v>15</v>
      </c>
      <c r="H61" s="73">
        <v>0</v>
      </c>
      <c r="I61" s="255"/>
      <c r="J61" s="25"/>
      <c r="K61"/>
      <c r="M61" t="str">
        <f>IF(B57="","NA",IF(B63&lt;15,"CWIF","PASS"))</f>
        <v>NA</v>
      </c>
    </row>
    <row r="62" spans="1:14" ht="15" customHeight="1" x14ac:dyDescent="0.25">
      <c r="A62" s="171" t="s">
        <v>247</v>
      </c>
      <c r="B62" s="277" t="str">
        <f>IF(B57="","",B61/B57)</f>
        <v/>
      </c>
      <c r="C62" s="134"/>
      <c r="D62" s="305" t="s">
        <v>47</v>
      </c>
      <c r="E62" s="306"/>
      <c r="F62" s="258">
        <v>1</v>
      </c>
      <c r="G62" s="70" t="s">
        <v>86</v>
      </c>
      <c r="H62" s="70" t="s">
        <v>87</v>
      </c>
      <c r="I62" s="255"/>
      <c r="J62" s="25"/>
      <c r="K62"/>
      <c r="M62" s="3">
        <f>IF(B57="",0,IF(B62=1,F61,IF((B62&lt;1)*(B62&gt;=0.98),G61,IF(B62&lt;0.98,H61))))</f>
        <v>0</v>
      </c>
      <c r="N62" t="s">
        <v>50</v>
      </c>
    </row>
    <row r="63" spans="1:14" ht="24.75" customHeight="1" x14ac:dyDescent="0.25">
      <c r="A63" s="193" t="s">
        <v>248</v>
      </c>
      <c r="B63" s="191" t="str">
        <f>IF(B57="","",IF(B57&lt;100,M63,M62))</f>
        <v/>
      </c>
      <c r="C63" s="134"/>
      <c r="D63" s="347" t="s">
        <v>48</v>
      </c>
      <c r="E63" s="348"/>
      <c r="F63" s="260" t="s">
        <v>227</v>
      </c>
      <c r="G63" s="261" t="s">
        <v>256</v>
      </c>
      <c r="H63" s="262" t="s">
        <v>257</v>
      </c>
      <c r="I63" s="255"/>
      <c r="J63" s="25"/>
      <c r="K63"/>
      <c r="M63" s="3">
        <f>IF(63="",0,IF(B57=B61,F61,IF(B57-B61=1,G61,IF(B57-B61&gt;1,H61))))</f>
        <v>20</v>
      </c>
      <c r="N63" t="s">
        <v>51</v>
      </c>
    </row>
    <row r="64" spans="1:14" ht="15" customHeight="1" x14ac:dyDescent="0.25">
      <c r="A64" s="170" t="s">
        <v>249</v>
      </c>
      <c r="B64" s="276"/>
      <c r="C64" s="211"/>
      <c r="D64" s="202"/>
      <c r="E64" s="247"/>
      <c r="F64" s="168">
        <v>20</v>
      </c>
      <c r="G64" s="73">
        <v>15</v>
      </c>
      <c r="H64" s="73">
        <v>0</v>
      </c>
      <c r="I64" s="255"/>
      <c r="J64" s="25"/>
      <c r="K64"/>
      <c r="M64" t="str">
        <f>IF(B57="","NA",IF(B66&lt;15,"CWIF","PASS"))</f>
        <v>NA</v>
      </c>
    </row>
    <row r="65" spans="1:14" ht="15" customHeight="1" x14ac:dyDescent="0.25">
      <c r="A65" s="171" t="s">
        <v>252</v>
      </c>
      <c r="B65" s="230" t="str">
        <f>IF(B57="","",B64/B57)</f>
        <v/>
      </c>
      <c r="C65" s="133"/>
      <c r="D65" s="305" t="s">
        <v>47</v>
      </c>
      <c r="E65" s="306"/>
      <c r="F65" s="105">
        <v>0</v>
      </c>
      <c r="G65" s="106" t="s">
        <v>4</v>
      </c>
      <c r="H65" s="70" t="s">
        <v>88</v>
      </c>
      <c r="I65" s="255"/>
      <c r="K65" s="1"/>
      <c r="M65" s="3">
        <f>IF(B57="",0,IF(B65=0,F64,IF((B65&gt;0)*(B65&lt;=0.01),G64,IF(B65&gt;0.01,H64))))</f>
        <v>0</v>
      </c>
      <c r="N65" t="s">
        <v>50</v>
      </c>
    </row>
    <row r="66" spans="1:14" ht="24.75" customHeight="1" x14ac:dyDescent="0.25">
      <c r="A66" s="193" t="s">
        <v>250</v>
      </c>
      <c r="B66" s="191" t="str">
        <f>IF(B57="","",IF(B57&lt;100,M66,M65))</f>
        <v/>
      </c>
      <c r="C66" s="225"/>
      <c r="D66" s="347" t="s">
        <v>48</v>
      </c>
      <c r="E66" s="348"/>
      <c r="F66" s="263" t="s">
        <v>258</v>
      </c>
      <c r="G66" s="215" t="s">
        <v>259</v>
      </c>
      <c r="H66" s="264" t="s">
        <v>260</v>
      </c>
      <c r="I66" s="256"/>
      <c r="K66" s="1"/>
      <c r="M66" s="3">
        <f>IF(B57="",0,IF(B64=0,F64,IF(B64=1,G64,IF(B64&gt;1,H64))))</f>
        <v>0</v>
      </c>
      <c r="N66" t="s">
        <v>51</v>
      </c>
    </row>
    <row r="67" spans="1:14" x14ac:dyDescent="0.25">
      <c r="A67" s="101" t="s">
        <v>230</v>
      </c>
      <c r="B67" s="188">
        <f>SUM(B66,B63,B60)</f>
        <v>0</v>
      </c>
      <c r="C67" s="225"/>
      <c r="D67" s="122"/>
      <c r="E67" s="266"/>
      <c r="F67" s="110" t="s">
        <v>151</v>
      </c>
      <c r="G67" s="111" t="s">
        <v>152</v>
      </c>
      <c r="H67" s="112" t="s">
        <v>154</v>
      </c>
      <c r="I67" s="256"/>
      <c r="K67" s="1"/>
    </row>
    <row r="68" spans="1:14" x14ac:dyDescent="0.25">
      <c r="B68" s="28"/>
      <c r="C68" s="225"/>
      <c r="D68" s="221"/>
      <c r="E68" s="132"/>
      <c r="F68" s="131"/>
      <c r="G68" s="256"/>
      <c r="H68" s="256"/>
      <c r="I68" s="256"/>
      <c r="K68" s="1"/>
    </row>
    <row r="69" spans="1:14" ht="30" x14ac:dyDescent="0.25">
      <c r="A69" s="85" t="s">
        <v>100</v>
      </c>
      <c r="B69" s="85" t="s">
        <v>42</v>
      </c>
      <c r="G69" s="335" t="s">
        <v>25</v>
      </c>
      <c r="H69" s="335"/>
      <c r="I69" s="29"/>
    </row>
    <row r="70" spans="1:14" x14ac:dyDescent="0.25">
      <c r="A70" s="89" t="s">
        <v>232</v>
      </c>
      <c r="B70" s="62"/>
      <c r="C70" s="104"/>
      <c r="D70" s="104"/>
      <c r="E70" s="104"/>
      <c r="F70" s="104"/>
      <c r="G70" s="214">
        <v>50</v>
      </c>
      <c r="H70" s="70">
        <v>0</v>
      </c>
      <c r="I70" s="29"/>
      <c r="J70" s="25"/>
      <c r="K70" s="25"/>
    </row>
    <row r="71" spans="1:14" ht="15" customHeight="1" x14ac:dyDescent="0.25">
      <c r="A71" s="90" t="s">
        <v>156</v>
      </c>
      <c r="B71" s="64"/>
      <c r="C71" s="47"/>
      <c r="D71" s="377"/>
      <c r="E71" s="377"/>
      <c r="F71" s="220"/>
      <c r="G71" s="215">
        <v>1</v>
      </c>
      <c r="H71" s="186" t="s">
        <v>81</v>
      </c>
      <c r="I71" s="29"/>
      <c r="J71" s="25"/>
      <c r="K71" s="25"/>
    </row>
    <row r="72" spans="1:14" x14ac:dyDescent="0.25">
      <c r="A72" s="102" t="s">
        <v>233</v>
      </c>
      <c r="B72" s="218" t="str">
        <f>IF(B71="","",B70/B71)</f>
        <v/>
      </c>
      <c r="C72" s="48"/>
      <c r="D72" s="221"/>
      <c r="E72" s="131"/>
      <c r="F72" s="136"/>
      <c r="G72" s="111" t="s">
        <v>152</v>
      </c>
      <c r="H72" s="112" t="s">
        <v>154</v>
      </c>
      <c r="I72" s="29"/>
      <c r="M72" t="str">
        <f>IF(B72="","NA",IF(B72&lt;0.1,"CWIF","PASS"))</f>
        <v>NA</v>
      </c>
    </row>
    <row r="73" spans="1:14" x14ac:dyDescent="0.25">
      <c r="A73" s="101" t="s">
        <v>174</v>
      </c>
      <c r="B73" s="72">
        <f>IF(B71="",0,IF(B72=1,G70,IF(B72&lt;1,H70)))</f>
        <v>0</v>
      </c>
      <c r="C73" s="47"/>
      <c r="D73" s="222"/>
      <c r="E73" s="132"/>
      <c r="F73" s="136"/>
      <c r="G73" s="4"/>
      <c r="H73" s="29"/>
      <c r="I73" s="29"/>
    </row>
    <row r="74" spans="1:14" ht="15" customHeight="1" x14ac:dyDescent="0.25">
      <c r="C74" s="48"/>
      <c r="D74" s="133"/>
      <c r="E74" s="133"/>
      <c r="F74" s="48"/>
      <c r="J74" s="175"/>
      <c r="K74" s="25"/>
      <c r="M74" s="45"/>
    </row>
    <row r="75" spans="1:14" ht="54" x14ac:dyDescent="0.25">
      <c r="A75" s="301" t="s">
        <v>14</v>
      </c>
      <c r="B75" s="301"/>
      <c r="C75" s="301"/>
      <c r="D75" s="85" t="s">
        <v>38</v>
      </c>
      <c r="E75" s="223"/>
      <c r="F75" s="310" t="s">
        <v>25</v>
      </c>
      <c r="G75" s="310"/>
      <c r="H75" s="310"/>
      <c r="I75" s="29"/>
      <c r="J75" s="21"/>
    </row>
    <row r="76" spans="1:14" x14ac:dyDescent="0.25">
      <c r="A76" s="331" t="s">
        <v>171</v>
      </c>
      <c r="B76" s="331"/>
      <c r="C76" s="331"/>
      <c r="D76" s="62"/>
      <c r="E76" s="131"/>
      <c r="F76" s="186">
        <v>50</v>
      </c>
      <c r="G76" s="186">
        <v>0</v>
      </c>
      <c r="H76" s="186" t="s">
        <v>15</v>
      </c>
      <c r="I76" s="29"/>
      <c r="M76" t="str">
        <f>IF(D76="","NA",IF(D76="N","CWIF","PASS"))</f>
        <v>NA</v>
      </c>
    </row>
    <row r="77" spans="1:14" x14ac:dyDescent="0.25">
      <c r="A77" s="380" t="s">
        <v>234</v>
      </c>
      <c r="B77" s="380"/>
      <c r="C77" s="380"/>
      <c r="D77" s="69">
        <f>IF(D76="Y",F76,IF(D76="N",0,IF(D76="NA","",IF(D76="",0))))</f>
        <v>0</v>
      </c>
      <c r="E77" s="132"/>
      <c r="F77" s="70" t="s">
        <v>16</v>
      </c>
      <c r="G77" s="106" t="s">
        <v>17</v>
      </c>
      <c r="H77" s="70" t="s">
        <v>39</v>
      </c>
      <c r="I77" s="29"/>
      <c r="J77" s="34"/>
      <c r="L77" s="49"/>
      <c r="M77" s="49"/>
      <c r="N77" s="49"/>
    </row>
    <row r="78" spans="1:14" ht="15" customHeight="1" x14ac:dyDescent="0.25">
      <c r="A78" s="378" t="s">
        <v>172</v>
      </c>
      <c r="B78" s="378"/>
      <c r="C78" s="378"/>
      <c r="D78" s="378"/>
      <c r="E78" s="379"/>
      <c r="F78" s="111" t="s">
        <v>152</v>
      </c>
      <c r="G78" s="112" t="s">
        <v>154</v>
      </c>
      <c r="H78" s="68" t="s">
        <v>173</v>
      </c>
      <c r="J78" s="175"/>
      <c r="K78" s="25"/>
      <c r="L78" s="49"/>
      <c r="M78" s="45"/>
      <c r="N78" s="49"/>
    </row>
    <row r="79" spans="1:14" ht="15" customHeight="1" x14ac:dyDescent="0.25">
      <c r="F79" s="120"/>
      <c r="G79" s="121"/>
      <c r="H79" s="224"/>
      <c r="J79" s="175"/>
      <c r="K79" s="25"/>
      <c r="L79" s="49"/>
      <c r="M79" s="45"/>
      <c r="N79" s="49"/>
    </row>
    <row r="80" spans="1:14" ht="41.25" x14ac:dyDescent="0.25">
      <c r="A80" s="301" t="s">
        <v>18</v>
      </c>
      <c r="B80" s="301"/>
      <c r="C80" s="301"/>
      <c r="D80" s="85" t="s">
        <v>19</v>
      </c>
      <c r="E80" s="7"/>
      <c r="F80"/>
      <c r="G80"/>
      <c r="H80" s="29"/>
      <c r="I80" s="29"/>
      <c r="L80" s="49"/>
      <c r="M80" s="49"/>
      <c r="N80" s="49"/>
    </row>
    <row r="81" spans="1:13" x14ac:dyDescent="0.25">
      <c r="A81" s="371" t="s">
        <v>67</v>
      </c>
      <c r="B81" s="371"/>
      <c r="C81" s="371"/>
      <c r="D81" s="226"/>
      <c r="E81" s="14" t="s">
        <v>1</v>
      </c>
      <c r="F81" s="4"/>
      <c r="G81" s="4"/>
      <c r="H81" s="29"/>
      <c r="I81" s="29"/>
      <c r="K81" s="29"/>
      <c r="M81" t="str">
        <f>IF(D81="","NA",IF(D81="Y","CWIF","PASS"))</f>
        <v>NA</v>
      </c>
    </row>
    <row r="82" spans="1:13" x14ac:dyDescent="0.25">
      <c r="A82" s="194"/>
      <c r="B82" s="194"/>
      <c r="C82" s="194"/>
      <c r="D82" s="241"/>
      <c r="E82" s="14"/>
      <c r="F82" s="4"/>
      <c r="G82" s="4"/>
      <c r="H82" s="29"/>
      <c r="I82" s="29"/>
      <c r="K82" s="29"/>
    </row>
    <row r="83" spans="1:13" x14ac:dyDescent="0.25">
      <c r="C83" s="4"/>
      <c r="D83" s="4"/>
      <c r="E83" s="4"/>
      <c r="F83" s="4"/>
      <c r="G83" s="4"/>
      <c r="H83" s="29"/>
      <c r="I83" s="29"/>
    </row>
    <row r="84" spans="1:13" ht="15.75" customHeight="1" x14ac:dyDescent="0.25">
      <c r="A84" s="85" t="s">
        <v>175</v>
      </c>
      <c r="B84" s="172" t="s">
        <v>0</v>
      </c>
      <c r="C84" s="172" t="s">
        <v>25</v>
      </c>
      <c r="D84" s="302" t="s">
        <v>273</v>
      </c>
      <c r="E84" s="302"/>
      <c r="F84" s="4"/>
      <c r="G84" s="4"/>
      <c r="H84" s="4"/>
      <c r="I84" s="4"/>
      <c r="J84"/>
      <c r="K84"/>
    </row>
    <row r="85" spans="1:13" x14ac:dyDescent="0.25">
      <c r="A85" s="139" t="s">
        <v>176</v>
      </c>
      <c r="B85" s="72">
        <f>G22</f>
        <v>0</v>
      </c>
      <c r="C85" s="173">
        <v>50</v>
      </c>
      <c r="D85" s="296" t="s">
        <v>115</v>
      </c>
      <c r="E85" s="296"/>
      <c r="F85" s="4"/>
      <c r="G85" s="4"/>
      <c r="H85" s="4"/>
      <c r="I85" s="4"/>
      <c r="J85"/>
      <c r="K85"/>
    </row>
    <row r="86" spans="1:13" x14ac:dyDescent="0.25">
      <c r="A86" s="93" t="s">
        <v>177</v>
      </c>
      <c r="B86" s="69">
        <f>G30</f>
        <v>0</v>
      </c>
      <c r="C86" s="174">
        <f>IF(F29="NA",40,50)</f>
        <v>50</v>
      </c>
      <c r="D86" s="361" t="s">
        <v>115</v>
      </c>
      <c r="E86" s="361"/>
      <c r="F86" s="4"/>
      <c r="G86" s="4"/>
      <c r="H86" s="4"/>
      <c r="I86" s="4"/>
      <c r="J86"/>
      <c r="K86"/>
    </row>
    <row r="87" spans="1:13" x14ac:dyDescent="0.25">
      <c r="A87" s="144" t="s">
        <v>235</v>
      </c>
      <c r="B87" s="153">
        <f>G33</f>
        <v>0</v>
      </c>
      <c r="C87" s="174">
        <v>50</v>
      </c>
      <c r="D87" s="394" t="str">
        <f>IF(M32="PASS","Pass",IF(M24="CWIF","Fail",""))</f>
        <v/>
      </c>
      <c r="E87" s="394"/>
      <c r="F87" s="4"/>
      <c r="G87" s="4"/>
      <c r="H87" s="4"/>
      <c r="I87" s="4"/>
      <c r="J87"/>
      <c r="K87"/>
    </row>
    <row r="88" spans="1:13" x14ac:dyDescent="0.25">
      <c r="A88" s="143" t="s">
        <v>179</v>
      </c>
      <c r="B88" s="69">
        <f>B39</f>
        <v>0</v>
      </c>
      <c r="C88" s="174">
        <v>40</v>
      </c>
      <c r="D88" s="394" t="str">
        <f>IF(M38="PASS","Pass",IF(M38="KWIF","Fail",""))</f>
        <v/>
      </c>
      <c r="E88" s="394"/>
      <c r="F88" s="4"/>
      <c r="G88" s="4"/>
      <c r="H88" s="4"/>
      <c r="I88" s="4"/>
      <c r="J88"/>
      <c r="K88"/>
    </row>
    <row r="89" spans="1:13" x14ac:dyDescent="0.25">
      <c r="A89" s="144" t="s">
        <v>236</v>
      </c>
      <c r="B89" s="69">
        <f>B46</f>
        <v>0</v>
      </c>
      <c r="C89" s="174">
        <v>50</v>
      </c>
      <c r="D89" s="394" t="str">
        <f>IF(M44="PASS","Pass",IF(M44="CWIF","Fail",""))</f>
        <v/>
      </c>
      <c r="E89" s="394"/>
      <c r="F89" s="4"/>
      <c r="G89" s="4"/>
      <c r="H89" s="4"/>
      <c r="I89" s="4"/>
      <c r="J89"/>
      <c r="K89"/>
    </row>
    <row r="90" spans="1:13" x14ac:dyDescent="0.25">
      <c r="A90" s="144" t="s">
        <v>181</v>
      </c>
      <c r="B90" s="69">
        <f>SUM(B54,B67)</f>
        <v>0</v>
      </c>
      <c r="C90" s="174">
        <f>IF(B52="NA",0,50)</f>
        <v>50</v>
      </c>
      <c r="D90" s="394" t="str">
        <f>IF(M49="PASS","Pass",IF(M49="CWIF","Fail",""))</f>
        <v>Pass</v>
      </c>
      <c r="E90" s="394"/>
      <c r="F90" s="4"/>
      <c r="G90" s="4"/>
      <c r="H90" s="4"/>
      <c r="I90" s="4"/>
      <c r="J90"/>
      <c r="K90"/>
    </row>
    <row r="91" spans="1:13" x14ac:dyDescent="0.25">
      <c r="A91" s="144" t="s">
        <v>238</v>
      </c>
      <c r="B91" s="69">
        <f>B73</f>
        <v>0</v>
      </c>
      <c r="C91" s="174">
        <v>50</v>
      </c>
      <c r="D91" s="394" t="str">
        <f>IF(M72="PASS","Pass",IF(M72="CWIF","Fail",""))</f>
        <v/>
      </c>
      <c r="E91" s="394"/>
      <c r="F91" s="4"/>
      <c r="G91" s="4"/>
      <c r="H91" s="4"/>
      <c r="I91" s="4"/>
      <c r="J91"/>
      <c r="K91"/>
    </row>
    <row r="92" spans="1:13" x14ac:dyDescent="0.25">
      <c r="A92" s="144" t="s">
        <v>183</v>
      </c>
      <c r="B92" s="69">
        <f>D77</f>
        <v>0</v>
      </c>
      <c r="C92" s="174">
        <f>IF(B52="NA",0,50)</f>
        <v>50</v>
      </c>
      <c r="D92" s="394" t="str">
        <f>IF(D76="NA","n/a",IF(M76="PASS","Pass",IF(M76="CWIF","Fail","")))</f>
        <v/>
      </c>
      <c r="E92" s="394"/>
      <c r="F92" s="4"/>
      <c r="G92" s="4"/>
      <c r="H92" s="4"/>
      <c r="I92" s="4"/>
      <c r="J92"/>
      <c r="K92"/>
    </row>
    <row r="93" spans="1:13" x14ac:dyDescent="0.25">
      <c r="A93" s="145" t="s">
        <v>184</v>
      </c>
      <c r="B93" s="78" t="s">
        <v>115</v>
      </c>
      <c r="C93" s="147" t="s">
        <v>115</v>
      </c>
      <c r="D93" s="395" t="str">
        <f>IF(M81="PASS","Pass",IF(M81="CWIF","Fail",""))</f>
        <v/>
      </c>
      <c r="E93" s="395"/>
      <c r="F93" s="4"/>
      <c r="G93" s="4"/>
      <c r="H93" s="4"/>
      <c r="I93" s="4"/>
      <c r="J93"/>
      <c r="K93"/>
    </row>
    <row r="94" spans="1:13" x14ac:dyDescent="0.25">
      <c r="A94" s="101" t="s">
        <v>185</v>
      </c>
      <c r="B94" s="72">
        <f>SUM(B85:B92)</f>
        <v>0</v>
      </c>
      <c r="C94" s="173">
        <f>SUM(C85:C93)</f>
        <v>390</v>
      </c>
      <c r="D94" s="296" t="s">
        <v>115</v>
      </c>
      <c r="E94" s="296"/>
      <c r="F94" s="4"/>
      <c r="G94" s="4"/>
      <c r="H94" s="4"/>
      <c r="I94" s="4"/>
      <c r="J94"/>
      <c r="K94"/>
    </row>
    <row r="95" spans="1:13" x14ac:dyDescent="0.25">
      <c r="C95" s="4"/>
      <c r="D95" s="4"/>
      <c r="E95" s="4"/>
      <c r="F95" s="4"/>
      <c r="G95" s="4"/>
      <c r="H95" s="29"/>
      <c r="I95" s="29"/>
    </row>
    <row r="96" spans="1:13" x14ac:dyDescent="0.25">
      <c r="A96" s="98" t="s">
        <v>186</v>
      </c>
      <c r="B96" s="230">
        <f>B94/C94</f>
        <v>0</v>
      </c>
      <c r="C96" s="298" t="s">
        <v>279</v>
      </c>
      <c r="D96" s="397"/>
      <c r="E96" s="397"/>
      <c r="F96" s="397"/>
      <c r="G96" s="397"/>
      <c r="H96" s="397"/>
      <c r="I96" s="397"/>
      <c r="J96"/>
      <c r="K96"/>
    </row>
    <row r="97" spans="1:11" ht="28.5" customHeight="1" x14ac:dyDescent="0.25">
      <c r="A97" s="100" t="s">
        <v>187</v>
      </c>
      <c r="B97" s="160" t="str">
        <f>IF(COUNTIF(M:M,"KWIF")&gt;1,"FAIL",IF(COUNTIF(M:M,"CWIF"),"FAIL",IF(((B52="NA")*(B96&gt;=0.85)),"PASS",IF(((B52="NA")*(B96&lt;0.86)),"FAIL",IF(B96&gt;=0.91,"PASS",IF(B96&lt;0.91,"FAIL"))))))</f>
        <v>FAIL</v>
      </c>
      <c r="C97" s="298"/>
      <c r="D97" s="397"/>
      <c r="E97" s="397"/>
      <c r="F97" s="397"/>
      <c r="G97" s="397"/>
      <c r="H97" s="397"/>
      <c r="I97" s="397"/>
      <c r="J97"/>
      <c r="K97"/>
    </row>
    <row r="98" spans="1:11" x14ac:dyDescent="0.25">
      <c r="C98" s="4"/>
      <c r="D98" s="4"/>
      <c r="E98" s="4"/>
      <c r="F98" s="4"/>
      <c r="G98" s="4"/>
      <c r="H98" s="4"/>
      <c r="I98" s="4"/>
      <c r="J98" s="1"/>
      <c r="K98" s="1"/>
    </row>
    <row r="99" spans="1:11" x14ac:dyDescent="0.25">
      <c r="A99" s="1" t="s">
        <v>105</v>
      </c>
      <c r="K99" s="1"/>
    </row>
    <row r="100" spans="1:11" x14ac:dyDescent="0.25">
      <c r="A100" s="297"/>
      <c r="B100" s="297"/>
      <c r="C100" s="297"/>
      <c r="D100" s="297"/>
      <c r="E100" s="297"/>
      <c r="F100" s="297"/>
      <c r="G100" s="297"/>
      <c r="H100" s="297"/>
      <c r="I100" s="297"/>
      <c r="K100" s="1"/>
    </row>
    <row r="101" spans="1:11" x14ac:dyDescent="0.25">
      <c r="A101" s="297"/>
      <c r="B101" s="297"/>
      <c r="C101" s="297"/>
      <c r="D101" s="297"/>
      <c r="E101" s="297"/>
      <c r="F101" s="297"/>
      <c r="G101" s="297"/>
      <c r="H101" s="297"/>
      <c r="I101" s="297"/>
      <c r="K101" s="1"/>
    </row>
    <row r="102" spans="1:11" x14ac:dyDescent="0.25">
      <c r="A102" s="297"/>
      <c r="B102" s="297"/>
      <c r="C102" s="297"/>
      <c r="D102" s="297"/>
      <c r="E102" s="297"/>
      <c r="F102" s="297"/>
      <c r="G102" s="297"/>
      <c r="H102" s="297"/>
      <c r="I102" s="297"/>
      <c r="K102" s="1"/>
    </row>
  </sheetData>
  <mergeCells count="77">
    <mergeCell ref="C96:I97"/>
    <mergeCell ref="A100:I102"/>
    <mergeCell ref="C45:D45"/>
    <mergeCell ref="C44:D44"/>
    <mergeCell ref="A55:H55"/>
    <mergeCell ref="D90:E90"/>
    <mergeCell ref="D91:E91"/>
    <mergeCell ref="D92:E92"/>
    <mergeCell ref="D93:E93"/>
    <mergeCell ref="D94:E94"/>
    <mergeCell ref="D86:E86"/>
    <mergeCell ref="D87:E87"/>
    <mergeCell ref="D88:E88"/>
    <mergeCell ref="D89:E89"/>
    <mergeCell ref="A78:E78"/>
    <mergeCell ref="A80:C80"/>
    <mergeCell ref="A81:C81"/>
    <mergeCell ref="D84:E84"/>
    <mergeCell ref="D85:E85"/>
    <mergeCell ref="D71:E71"/>
    <mergeCell ref="A75:C75"/>
    <mergeCell ref="F75:H75"/>
    <mergeCell ref="A76:C76"/>
    <mergeCell ref="A77:C77"/>
    <mergeCell ref="G69:H69"/>
    <mergeCell ref="D63:E63"/>
    <mergeCell ref="D65:E65"/>
    <mergeCell ref="D66:E66"/>
    <mergeCell ref="F54:G54"/>
    <mergeCell ref="F57:H57"/>
    <mergeCell ref="D59:E59"/>
    <mergeCell ref="D60:E60"/>
    <mergeCell ref="D62:E62"/>
    <mergeCell ref="F51:G51"/>
    <mergeCell ref="C52:D52"/>
    <mergeCell ref="F52:G52"/>
    <mergeCell ref="C53:D53"/>
    <mergeCell ref="F53:G53"/>
    <mergeCell ref="E50:H50"/>
    <mergeCell ref="E42:H42"/>
    <mergeCell ref="A29:E29"/>
    <mergeCell ref="A30:F30"/>
    <mergeCell ref="A32:E32"/>
    <mergeCell ref="A33:E33"/>
    <mergeCell ref="E35:H35"/>
    <mergeCell ref="A25:E25"/>
    <mergeCell ref="A26:E26"/>
    <mergeCell ref="A27:E27"/>
    <mergeCell ref="A28:E28"/>
    <mergeCell ref="A49:B49"/>
    <mergeCell ref="C49:H49"/>
    <mergeCell ref="A19:E19"/>
    <mergeCell ref="A20:E20"/>
    <mergeCell ref="A21:E21"/>
    <mergeCell ref="A22:F22"/>
    <mergeCell ref="A24:E24"/>
    <mergeCell ref="A1:I1"/>
    <mergeCell ref="E3:I3"/>
    <mergeCell ref="A4:D4"/>
    <mergeCell ref="A6:D6"/>
    <mergeCell ref="E6:H6"/>
    <mergeCell ref="A7:D7"/>
    <mergeCell ref="E7:H7"/>
    <mergeCell ref="A8:D8"/>
    <mergeCell ref="C37:D37"/>
    <mergeCell ref="C38:D38"/>
    <mergeCell ref="E8:H8"/>
    <mergeCell ref="A9:D9"/>
    <mergeCell ref="E9:H9"/>
    <mergeCell ref="A11:E11"/>
    <mergeCell ref="A12:E12"/>
    <mergeCell ref="A13:E13"/>
    <mergeCell ref="A14:E14"/>
    <mergeCell ref="A15:E15"/>
    <mergeCell ref="A16:E16"/>
    <mergeCell ref="A17:E17"/>
    <mergeCell ref="A18:E18"/>
  </mergeCells>
  <conditionalFormatting sqref="B38">
    <cfRule type="expression" dxfId="13" priority="12">
      <formula>$M$38="KWIF"</formula>
    </cfRule>
  </conditionalFormatting>
  <conditionalFormatting sqref="B72">
    <cfRule type="cellIs" dxfId="12" priority="11" operator="lessThan">
      <formula>1</formula>
    </cfRule>
  </conditionalFormatting>
  <conditionalFormatting sqref="D76">
    <cfRule type="endsWith" dxfId="11" priority="16" operator="endsWith" text="N">
      <formula>RIGHT(D76,LEN("N"))="N"</formula>
    </cfRule>
  </conditionalFormatting>
  <conditionalFormatting sqref="D81:D82">
    <cfRule type="containsText" dxfId="10" priority="15" operator="containsText" text="Y">
      <formula>NOT(ISERROR(SEARCH("Y",D81)))</formula>
    </cfRule>
  </conditionalFormatting>
  <conditionalFormatting sqref="B97">
    <cfRule type="containsText" dxfId="9" priority="13" operator="containsText" text="PASS">
      <formula>NOT(ISERROR(SEARCH("PASS",B97)))</formula>
    </cfRule>
    <cfRule type="containsText" dxfId="8" priority="14" operator="containsText" text="FAIL">
      <formula>NOT(ISERROR(SEARCH("FAIL",B97)))</formula>
    </cfRule>
  </conditionalFormatting>
  <conditionalFormatting sqref="B45">
    <cfRule type="expression" dxfId="7" priority="10">
      <formula>$M$44="CWIF"</formula>
    </cfRule>
  </conditionalFormatting>
  <conditionalFormatting sqref="B65">
    <cfRule type="expression" dxfId="6" priority="2">
      <formula>$M$64="CWIF"</formula>
    </cfRule>
  </conditionalFormatting>
  <conditionalFormatting sqref="B53">
    <cfRule type="cellIs" dxfId="5" priority="8" operator="lessThan">
      <formula>0.96</formula>
    </cfRule>
  </conditionalFormatting>
  <conditionalFormatting sqref="D87:E87 D89:E93">
    <cfRule type="cellIs" dxfId="4" priority="7" operator="equal">
      <formula>"Fail"</formula>
    </cfRule>
  </conditionalFormatting>
  <conditionalFormatting sqref="D88:E88">
    <cfRule type="cellIs" dxfId="3" priority="6" operator="equal">
      <formula>"Fail"</formula>
    </cfRule>
  </conditionalFormatting>
  <conditionalFormatting sqref="D87:E93">
    <cfRule type="cellIs" dxfId="2" priority="5" operator="equal">
      <formula>"Pass"</formula>
    </cfRule>
  </conditionalFormatting>
  <conditionalFormatting sqref="B59">
    <cfRule type="expression" dxfId="1" priority="4">
      <formula>$M$58="CWIF"</formula>
    </cfRule>
  </conditionalFormatting>
  <conditionalFormatting sqref="B62">
    <cfRule type="expression" dxfId="0" priority="3">
      <formula>$M$61="CWIF"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Cattle Transport</vt:lpstr>
      <vt:lpstr>Bison Transport</vt:lpstr>
      <vt:lpstr>Swine Transport</vt:lpstr>
      <vt:lpstr>Sheep Transport</vt:lpstr>
      <vt:lpstr>Cattle Slaughter</vt:lpstr>
      <vt:lpstr>Bison Slaughter</vt:lpstr>
      <vt:lpstr>Swine Slaughter</vt:lpstr>
      <vt:lpstr>Sheep Slaughter</vt:lpstr>
    </vt:vector>
  </TitlesOfParts>
  <Company>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Gallimore</dc:creator>
  <cp:lastModifiedBy>Casey Gallimore</cp:lastModifiedBy>
  <dcterms:created xsi:type="dcterms:W3CDTF">2023-07-06T16:01:46Z</dcterms:created>
  <dcterms:modified xsi:type="dcterms:W3CDTF">2024-05-03T17:53:09Z</dcterms:modified>
</cp:coreProperties>
</file>